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53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2" l="1"/>
  <c r="E87" i="2"/>
  <c r="I87" i="2" s="1"/>
  <c r="H85" i="2"/>
  <c r="J85" i="2" s="1"/>
  <c r="E85" i="2"/>
  <c r="I85" i="2" s="1"/>
  <c r="H84" i="2"/>
  <c r="J84" i="2" s="1"/>
  <c r="E84" i="2"/>
  <c r="I84" i="2" s="1"/>
  <c r="H83" i="2"/>
  <c r="J83" i="2" s="1"/>
  <c r="E83" i="2"/>
  <c r="H82" i="2"/>
  <c r="J82" i="2" s="1"/>
  <c r="E82" i="2"/>
  <c r="K81" i="2"/>
  <c r="G81" i="2"/>
  <c r="H81" i="2" s="1"/>
  <c r="F81" i="2"/>
  <c r="D81" i="2"/>
  <c r="C81" i="2"/>
  <c r="H80" i="2"/>
  <c r="E80" i="2"/>
  <c r="I80" i="2" s="1"/>
  <c r="K79" i="2"/>
  <c r="G79" i="2"/>
  <c r="H79" i="2" s="1"/>
  <c r="J79" i="2" s="1"/>
  <c r="F79" i="2"/>
  <c r="E79" i="2"/>
  <c r="G78" i="2"/>
  <c r="F78" i="2"/>
  <c r="H78" i="2" s="1"/>
  <c r="E78" i="2"/>
  <c r="K77" i="2"/>
  <c r="E77" i="2"/>
  <c r="D77" i="2"/>
  <c r="C77" i="2"/>
  <c r="K76" i="2"/>
  <c r="G76" i="2"/>
  <c r="F76" i="2"/>
  <c r="H76" i="2" s="1"/>
  <c r="J76" i="2" s="1"/>
  <c r="E76" i="2"/>
  <c r="K74" i="2"/>
  <c r="G74" i="2"/>
  <c r="D74" i="2"/>
  <c r="C74" i="2"/>
  <c r="E74" i="2" s="1"/>
  <c r="K73" i="2"/>
  <c r="G73" i="2"/>
  <c r="G72" i="2" s="1"/>
  <c r="F73" i="2"/>
  <c r="E73" i="2"/>
  <c r="K72" i="2"/>
  <c r="E72" i="2"/>
  <c r="D72" i="2"/>
  <c r="C72" i="2"/>
  <c r="K71" i="2"/>
  <c r="K70" i="2" s="1"/>
  <c r="G71" i="2"/>
  <c r="F71" i="2"/>
  <c r="H71" i="2" s="1"/>
  <c r="E71" i="2"/>
  <c r="I71" i="2" s="1"/>
  <c r="G70" i="2"/>
  <c r="E70" i="2"/>
  <c r="D70" i="2"/>
  <c r="C70" i="2"/>
  <c r="K69" i="2"/>
  <c r="G69" i="2"/>
  <c r="F69" i="2"/>
  <c r="H69" i="2" s="1"/>
  <c r="J69" i="2" s="1"/>
  <c r="E69" i="2"/>
  <c r="K68" i="2"/>
  <c r="G68" i="2"/>
  <c r="E68" i="2"/>
  <c r="D68" i="2"/>
  <c r="C68" i="2"/>
  <c r="K67" i="2"/>
  <c r="G67" i="2"/>
  <c r="G66" i="2" s="1"/>
  <c r="F67" i="2"/>
  <c r="E67" i="2"/>
  <c r="K66" i="2"/>
  <c r="E66" i="2"/>
  <c r="D66" i="2"/>
  <c r="C66" i="2"/>
  <c r="K65" i="2"/>
  <c r="G65" i="2"/>
  <c r="F65" i="2"/>
  <c r="H65" i="2" s="1"/>
  <c r="J65" i="2" s="1"/>
  <c r="E65" i="2"/>
  <c r="G64" i="2"/>
  <c r="G63" i="2" s="1"/>
  <c r="F64" i="2"/>
  <c r="E64" i="2"/>
  <c r="D64" i="2"/>
  <c r="K63" i="2"/>
  <c r="D63" i="2"/>
  <c r="C63" i="2"/>
  <c r="E63" i="2" s="1"/>
  <c r="H62" i="2"/>
  <c r="F62" i="2"/>
  <c r="E62" i="2"/>
  <c r="H61" i="2"/>
  <c r="E61" i="2"/>
  <c r="I61" i="2" s="1"/>
  <c r="H60" i="2"/>
  <c r="E60" i="2"/>
  <c r="I60" i="2" s="1"/>
  <c r="H59" i="2"/>
  <c r="J59" i="2" s="1"/>
  <c r="E59" i="2"/>
  <c r="F58" i="2"/>
  <c r="H58" i="2" s="1"/>
  <c r="E58" i="2"/>
  <c r="H57" i="2"/>
  <c r="E57" i="2"/>
  <c r="G56" i="2"/>
  <c r="F56" i="2"/>
  <c r="H56" i="2" s="1"/>
  <c r="J56" i="2" s="1"/>
  <c r="E56" i="2"/>
  <c r="H55" i="2"/>
  <c r="F55" i="2"/>
  <c r="E55" i="2"/>
  <c r="K54" i="2"/>
  <c r="K47" i="2" s="1"/>
  <c r="G54" i="2"/>
  <c r="F54" i="2"/>
  <c r="H54" i="2" s="1"/>
  <c r="D54" i="2"/>
  <c r="D47" i="2" s="1"/>
  <c r="D45" i="2" s="1"/>
  <c r="D39" i="2" s="1"/>
  <c r="C54" i="2"/>
  <c r="F53" i="2"/>
  <c r="H53" i="2" s="1"/>
  <c r="J53" i="2" s="1"/>
  <c r="E53" i="2"/>
  <c r="F52" i="2"/>
  <c r="H52" i="2" s="1"/>
  <c r="E52" i="2"/>
  <c r="G51" i="2"/>
  <c r="G47" i="2" s="1"/>
  <c r="F51" i="2"/>
  <c r="H51" i="2" s="1"/>
  <c r="J51" i="2" s="1"/>
  <c r="E51" i="2"/>
  <c r="H50" i="2"/>
  <c r="E50" i="2"/>
  <c r="I50" i="2" s="1"/>
  <c r="H49" i="2"/>
  <c r="J49" i="2" s="1"/>
  <c r="G49" i="2"/>
  <c r="F49" i="2"/>
  <c r="E49" i="2"/>
  <c r="F48" i="2"/>
  <c r="H48" i="2" s="1"/>
  <c r="E48" i="2"/>
  <c r="F47" i="2"/>
  <c r="F45" i="2" s="1"/>
  <c r="G46" i="2"/>
  <c r="F46" i="2"/>
  <c r="F40" i="2" s="1"/>
  <c r="E46" i="2"/>
  <c r="D46" i="2"/>
  <c r="H42" i="2"/>
  <c r="E42" i="2"/>
  <c r="I42" i="2" s="1"/>
  <c r="H41" i="2"/>
  <c r="E41" i="2"/>
  <c r="K40" i="2"/>
  <c r="K46" i="2" s="1"/>
  <c r="C40" i="2"/>
  <c r="E40" i="2" s="1"/>
  <c r="F38" i="2"/>
  <c r="H38" i="2" s="1"/>
  <c r="D38" i="2"/>
  <c r="E38" i="2" s="1"/>
  <c r="I37" i="2"/>
  <c r="H37" i="2"/>
  <c r="E37" i="2"/>
  <c r="H36" i="2"/>
  <c r="E36" i="2"/>
  <c r="K35" i="2"/>
  <c r="G35" i="2"/>
  <c r="C35" i="2"/>
  <c r="H34" i="2"/>
  <c r="I34" i="2" s="1"/>
  <c r="E34" i="2"/>
  <c r="H33" i="2"/>
  <c r="E33" i="2"/>
  <c r="H32" i="2"/>
  <c r="J32" i="2" s="1"/>
  <c r="E32" i="2"/>
  <c r="K31" i="2"/>
  <c r="H31" i="2"/>
  <c r="J31" i="2" s="1"/>
  <c r="E31" i="2"/>
  <c r="K30" i="2"/>
  <c r="H30" i="2"/>
  <c r="I30" i="2" s="1"/>
  <c r="E30" i="2"/>
  <c r="K29" i="2"/>
  <c r="K28" i="2" s="1"/>
  <c r="H29" i="2"/>
  <c r="J29" i="2" s="1"/>
  <c r="E29" i="2"/>
  <c r="G28" i="2"/>
  <c r="F28" i="2"/>
  <c r="H28" i="2" s="1"/>
  <c r="D28" i="2"/>
  <c r="C28" i="2"/>
  <c r="E28" i="2" s="1"/>
  <c r="H27" i="2"/>
  <c r="E27" i="2"/>
  <c r="I27" i="2" s="1"/>
  <c r="H26" i="2"/>
  <c r="J26" i="2" s="1"/>
  <c r="E26" i="2"/>
  <c r="K25" i="2"/>
  <c r="H25" i="2"/>
  <c r="J25" i="2" s="1"/>
  <c r="E25" i="2"/>
  <c r="H24" i="2"/>
  <c r="E24" i="2"/>
  <c r="I24" i="2" s="1"/>
  <c r="K23" i="2"/>
  <c r="J23" i="2"/>
  <c r="H23" i="2"/>
  <c r="E23" i="2"/>
  <c r="I23" i="2" s="1"/>
  <c r="K22" i="2"/>
  <c r="K21" i="2" s="1"/>
  <c r="H22" i="2"/>
  <c r="E22" i="2"/>
  <c r="I22" i="2" s="1"/>
  <c r="G21" i="2"/>
  <c r="H21" i="2" s="1"/>
  <c r="F21" i="2"/>
  <c r="D21" i="2"/>
  <c r="C21" i="2"/>
  <c r="E21" i="2" s="1"/>
  <c r="J20" i="2"/>
  <c r="H20" i="2"/>
  <c r="E20" i="2"/>
  <c r="I20" i="2" s="1"/>
  <c r="G19" i="2"/>
  <c r="H19" i="2" s="1"/>
  <c r="J19" i="2" s="1"/>
  <c r="F19" i="2"/>
  <c r="F18" i="2" s="1"/>
  <c r="E19" i="2"/>
  <c r="K18" i="2"/>
  <c r="G18" i="2"/>
  <c r="D18" i="2"/>
  <c r="C18" i="2"/>
  <c r="E18" i="2" s="1"/>
  <c r="K14" i="2"/>
  <c r="G14" i="2"/>
  <c r="G9" i="2" s="1"/>
  <c r="F14" i="2"/>
  <c r="D14" i="2"/>
  <c r="E14" i="2" s="1"/>
  <c r="K11" i="2"/>
  <c r="K10" i="2" s="1"/>
  <c r="G10" i="2"/>
  <c r="F10" i="2"/>
  <c r="H10" i="2" s="1"/>
  <c r="E10" i="2"/>
  <c r="D10" i="2"/>
  <c r="D9" i="2"/>
  <c r="E9" i="2" s="1"/>
  <c r="C9" i="2"/>
  <c r="J7" i="2"/>
  <c r="K6" i="2"/>
  <c r="F6" i="2"/>
  <c r="H6" i="2" s="1"/>
  <c r="D6" i="2"/>
  <c r="C6" i="2"/>
  <c r="E6" i="2" s="1"/>
  <c r="K45" i="2" l="1"/>
  <c r="K39" i="2" s="1"/>
  <c r="I53" i="2"/>
  <c r="I21" i="2"/>
  <c r="I36" i="2"/>
  <c r="I55" i="2"/>
  <c r="J57" i="2"/>
  <c r="J61" i="2"/>
  <c r="J71" i="2"/>
  <c r="G77" i="2"/>
  <c r="F9" i="2"/>
  <c r="H9" i="2" s="1"/>
  <c r="J9" i="2" s="1"/>
  <c r="I19" i="2"/>
  <c r="I26" i="2"/>
  <c r="J33" i="2"/>
  <c r="J37" i="2"/>
  <c r="J50" i="2"/>
  <c r="I62" i="2"/>
  <c r="H73" i="2"/>
  <c r="J73" i="2" s="1"/>
  <c r="I82" i="2"/>
  <c r="H14" i="2"/>
  <c r="J14" i="2" s="1"/>
  <c r="I29" i="2"/>
  <c r="E54" i="2"/>
  <c r="I54" i="2" s="1"/>
  <c r="H64" i="2"/>
  <c r="J64" i="2" s="1"/>
  <c r="I56" i="2"/>
  <c r="I59" i="2"/>
  <c r="J78" i="2"/>
  <c r="J80" i="2"/>
  <c r="K9" i="2"/>
  <c r="K8" i="2" s="1"/>
  <c r="K5" i="2" s="1"/>
  <c r="J27" i="2"/>
  <c r="I31" i="2"/>
  <c r="J41" i="2"/>
  <c r="H46" i="2"/>
  <c r="J46" i="2" s="1"/>
  <c r="I49" i="2"/>
  <c r="I65" i="2"/>
  <c r="E81" i="2"/>
  <c r="I81" i="2" s="1"/>
  <c r="I83" i="2"/>
  <c r="J10" i="2"/>
  <c r="J24" i="2"/>
  <c r="I79" i="2"/>
  <c r="I28" i="2"/>
  <c r="J38" i="2"/>
  <c r="J22" i="2"/>
  <c r="I25" i="2"/>
  <c r="C39" i="2"/>
  <c r="C8" i="2" s="1"/>
  <c r="C5" i="2" s="1"/>
  <c r="J42" i="2"/>
  <c r="C47" i="2"/>
  <c r="C45" i="2" s="1"/>
  <c r="J60" i="2"/>
  <c r="F63" i="2"/>
  <c r="H67" i="2"/>
  <c r="J67" i="2" s="1"/>
  <c r="H18" i="2"/>
  <c r="J18" i="2" s="1"/>
  <c r="J28" i="2"/>
  <c r="E45" i="2"/>
  <c r="I64" i="2"/>
  <c r="I67" i="2"/>
  <c r="I76" i="2"/>
  <c r="I68" i="2"/>
  <c r="J6" i="2"/>
  <c r="I10" i="2"/>
  <c r="J21" i="2"/>
  <c r="I38" i="2"/>
  <c r="J48" i="2"/>
  <c r="I48" i="2"/>
  <c r="I51" i="2"/>
  <c r="J52" i="2"/>
  <c r="I52" i="2"/>
  <c r="J54" i="2"/>
  <c r="J58" i="2"/>
  <c r="I58" i="2"/>
  <c r="H63" i="2"/>
  <c r="J63" i="2" s="1"/>
  <c r="I69" i="2"/>
  <c r="I78" i="2"/>
  <c r="I6" i="2"/>
  <c r="G45" i="2"/>
  <c r="G39" i="2" s="1"/>
  <c r="G8" i="2" s="1"/>
  <c r="G5" i="2" s="1"/>
  <c r="J62" i="2"/>
  <c r="I32" i="2"/>
  <c r="I33" i="2"/>
  <c r="F35" i="2"/>
  <c r="H35" i="2" s="1"/>
  <c r="J35" i="2" s="1"/>
  <c r="G40" i="2"/>
  <c r="H40" i="2" s="1"/>
  <c r="I41" i="2"/>
  <c r="I57" i="2"/>
  <c r="F66" i="2"/>
  <c r="H66" i="2" s="1"/>
  <c r="J66" i="2" s="1"/>
  <c r="F68" i="2"/>
  <c r="H68" i="2" s="1"/>
  <c r="J68" i="2" s="1"/>
  <c r="F70" i="2"/>
  <c r="H70" i="2" s="1"/>
  <c r="J70" i="2" s="1"/>
  <c r="F72" i="2"/>
  <c r="H72" i="2" s="1"/>
  <c r="J72" i="2" s="1"/>
  <c r="F74" i="2"/>
  <c r="H74" i="2" s="1"/>
  <c r="J74" i="2" s="1"/>
  <c r="F77" i="2"/>
  <c r="H77" i="2" s="1"/>
  <c r="J77" i="2" s="1"/>
  <c r="J55" i="2"/>
  <c r="H47" i="2"/>
  <c r="D35" i="2"/>
  <c r="E35" i="2" s="1"/>
  <c r="J81" i="2" l="1"/>
  <c r="I73" i="2"/>
  <c r="I14" i="2"/>
  <c r="E39" i="2"/>
  <c r="I74" i="2"/>
  <c r="E47" i="2"/>
  <c r="I47" i="2" s="1"/>
  <c r="I63" i="2"/>
  <c r="I46" i="2"/>
  <c r="I9" i="2"/>
  <c r="J40" i="2"/>
  <c r="I40" i="2"/>
  <c r="F39" i="2"/>
  <c r="H39" i="2" s="1"/>
  <c r="J39" i="2" s="1"/>
  <c r="D8" i="2"/>
  <c r="I66" i="2"/>
  <c r="I72" i="2"/>
  <c r="I35" i="2"/>
  <c r="I18" i="2"/>
  <c r="I70" i="2"/>
  <c r="I77" i="2"/>
  <c r="H45" i="2"/>
  <c r="J45" i="2" s="1"/>
  <c r="I39" i="2" l="1"/>
  <c r="J47" i="2"/>
  <c r="F8" i="2"/>
  <c r="E8" i="2"/>
  <c r="D5" i="2"/>
  <c r="I45" i="2"/>
  <c r="E5" i="2" l="1"/>
  <c r="H8" i="2"/>
  <c r="J8" i="2" s="1"/>
  <c r="F5" i="2"/>
  <c r="H5" i="2" s="1"/>
  <c r="J5" i="2" s="1"/>
  <c r="I5" i="2" l="1"/>
  <c r="I8" i="2"/>
  <c r="M27" i="1" l="1"/>
  <c r="J27" i="1"/>
  <c r="M26" i="1"/>
  <c r="J26" i="1"/>
  <c r="G26" i="1"/>
  <c r="G25" i="1" s="1"/>
  <c r="L25" i="1"/>
  <c r="M25" i="1" s="1"/>
  <c r="K25" i="1"/>
  <c r="I25" i="1"/>
  <c r="J25" i="1" s="1"/>
  <c r="H25" i="1"/>
  <c r="F25" i="1"/>
  <c r="E25" i="1"/>
  <c r="D25" i="1"/>
  <c r="C25" i="1"/>
  <c r="K18" i="1"/>
  <c r="K14" i="1" s="1"/>
  <c r="I18" i="1"/>
  <c r="E18" i="1"/>
  <c r="M17" i="1"/>
  <c r="J17" i="1"/>
  <c r="G17" i="1"/>
  <c r="M16" i="1"/>
  <c r="J16" i="1"/>
  <c r="G16" i="1"/>
  <c r="L15" i="1"/>
  <c r="L14" i="1" s="1"/>
  <c r="K15" i="1"/>
  <c r="I15" i="1"/>
  <c r="J15" i="1" s="1"/>
  <c r="J14" i="1" s="1"/>
  <c r="H15" i="1"/>
  <c r="H14" i="1" s="1"/>
  <c r="F15" i="1"/>
  <c r="F14" i="1" s="1"/>
  <c r="E15" i="1"/>
  <c r="E14" i="1" s="1"/>
  <c r="D15" i="1"/>
  <c r="D14" i="1" s="1"/>
  <c r="C15" i="1"/>
  <c r="G15" i="1" s="1"/>
  <c r="G13" i="1"/>
  <c r="M12" i="1"/>
  <c r="J12" i="1"/>
  <c r="G12" i="1"/>
  <c r="M11" i="1"/>
  <c r="J11" i="1"/>
  <c r="G11" i="1"/>
  <c r="L10" i="1"/>
  <c r="K10" i="1"/>
  <c r="I10" i="1"/>
  <c r="H10" i="1"/>
  <c r="M10" i="1" s="1"/>
  <c r="F10" i="1"/>
  <c r="G10" i="1" s="1"/>
  <c r="E10" i="1"/>
  <c r="D10" i="1"/>
  <c r="C10" i="1"/>
  <c r="M8" i="1"/>
  <c r="J8" i="1"/>
  <c r="M7" i="1"/>
  <c r="J7" i="1"/>
  <c r="G7" i="1"/>
  <c r="L6" i="1"/>
  <c r="M6" i="1" s="1"/>
  <c r="K6" i="1"/>
  <c r="I6" i="1"/>
  <c r="I5" i="1" s="1"/>
  <c r="H6" i="1"/>
  <c r="F6" i="1"/>
  <c r="G6" i="1" s="1"/>
  <c r="E6" i="1"/>
  <c r="E5" i="1" s="1"/>
  <c r="D6" i="1"/>
  <c r="C6" i="1"/>
  <c r="L5" i="1"/>
  <c r="D5" i="1"/>
  <c r="J10" i="1" l="1"/>
  <c r="L28" i="1"/>
  <c r="J6" i="1"/>
  <c r="H5" i="1"/>
  <c r="M5" i="1" s="1"/>
  <c r="K5" i="1"/>
  <c r="K28" i="1" s="1"/>
  <c r="C14" i="1"/>
  <c r="G14" i="1" s="1"/>
  <c r="C5" i="1"/>
  <c r="H28" i="1"/>
  <c r="M28" i="1" s="1"/>
  <c r="M14" i="1"/>
  <c r="M15" i="1"/>
  <c r="I14" i="1"/>
  <c r="I28" i="1" s="1"/>
  <c r="F5" i="1"/>
  <c r="J5" i="1"/>
  <c r="I29" i="1" l="1"/>
  <c r="I30" i="1" s="1"/>
  <c r="J28" i="1"/>
  <c r="G5" i="1"/>
  <c r="F28" i="1"/>
</calcChain>
</file>

<file path=xl/sharedStrings.xml><?xml version="1.0" encoding="utf-8"?>
<sst xmlns="http://schemas.openxmlformats.org/spreadsheetml/2006/main" count="209" uniqueCount="171">
  <si>
    <t>Phụ lục 01</t>
  </si>
  <si>
    <t xml:space="preserve"> DỰ TOÁN THU NGÂN SÁCH NĂM 2023</t>
  </si>
  <si>
    <t>STT</t>
  </si>
  <si>
    <t>NỘI DUNG</t>
  </si>
  <si>
    <t>DỰ TOÁN 2017</t>
  </si>
  <si>
    <t xml:space="preserve"> THỰC HIỆN 4 THÁNG NĂM 2017</t>
  </si>
  <si>
    <t>ƯỚC THỰC HIỆN  NĂM 2017</t>
  </si>
  <si>
    <t>DỰ TOÁN 2019</t>
  </si>
  <si>
    <t>TỶ LỆ
(DT2018/DT 2017)</t>
  </si>
  <si>
    <t>DỰ TOÁN 2020</t>
  </si>
  <si>
    <t>THỰC HIỆN
 8 THÁNG ĐẦU NĂM 2020</t>
  </si>
  <si>
    <t>Tỷ lệ
TH/DT</t>
  </si>
  <si>
    <t>UTH 2020</t>
  </si>
  <si>
    <t>DỰ TOÁN 2023</t>
  </si>
  <si>
    <t>Tỷ lệ
DT 2021/DT2020</t>
  </si>
  <si>
    <t>I</t>
  </si>
  <si>
    <t>Các khoản thu xã hưởng 100%</t>
  </si>
  <si>
    <t>Phí và lệ phí</t>
  </si>
  <si>
    <t>1.1</t>
  </si>
  <si>
    <t>Lệ phí hành chính</t>
  </si>
  <si>
    <t>1.2</t>
  </si>
  <si>
    <t>Lệ phí môn bài</t>
  </si>
  <si>
    <t>1.3</t>
  </si>
  <si>
    <t>Lệ phí trước bạ nhà đất</t>
  </si>
  <si>
    <t>Thu tại xã</t>
  </si>
  <si>
    <t>2.1</t>
  </si>
  <si>
    <t>Thu tiền thuê đất 5%</t>
  </si>
  <si>
    <t>2.2</t>
  </si>
  <si>
    <t>Thu xử phạt HC</t>
  </si>
  <si>
    <t>2.3</t>
  </si>
  <si>
    <t>Thu khác</t>
  </si>
  <si>
    <t>II</t>
  </si>
  <si>
    <t>Các khoản thu phân chia theo tỷ lệ phần trăm</t>
  </si>
  <si>
    <t>Các khoản thu phân chia theo tỷ lệ %</t>
  </si>
  <si>
    <t>-</t>
  </si>
  <si>
    <t>Thuế giá trị gia tăng</t>
  </si>
  <si>
    <t>Thuế thu nhập cá nhân</t>
  </si>
  <si>
    <t>Các khoản thu phân chia khác do tỉnh quy định</t>
  </si>
  <si>
    <t>Thu tiền thuê mặt đất</t>
  </si>
  <si>
    <t>Thu thuế đất ở</t>
  </si>
  <si>
    <t>Thu tiền sử dụng đất</t>
  </si>
  <si>
    <t>III</t>
  </si>
  <si>
    <t>Thu viện trợ không hoàn lại trực tiếp cho xã (nếu có)</t>
  </si>
  <si>
    <t>IV</t>
  </si>
  <si>
    <t>Thu chuyển nguồn</t>
  </si>
  <si>
    <t>V</t>
  </si>
  <si>
    <t>Thu kết dư ngân sách năm trước</t>
  </si>
  <si>
    <t>VI</t>
  </si>
  <si>
    <t>Thu bổ sung từ ngân sách cấp trên</t>
  </si>
  <si>
    <t>Bổ sung cân đối</t>
  </si>
  <si>
    <t>Bổ sung có mục tiêu</t>
  </si>
  <si>
    <t>Tổng cộng:</t>
  </si>
  <si>
    <r>
      <rPr>
        <b/>
        <i/>
        <sz val="12"/>
        <rFont val="Times New Roman"/>
        <family val="1"/>
      </rPr>
      <t>Phụ lục 02</t>
    </r>
    <r>
      <rPr>
        <b/>
        <sz val="12"/>
        <rFont val="Times New Roman"/>
        <family val="1"/>
      </rPr>
      <t xml:space="preserve">
 DỰ  TOÁN CHI NGÂN NĂM 2023</t>
    </r>
  </si>
  <si>
    <t>DỰ TOÁN 
NĂM 2019</t>
  </si>
  <si>
    <t>BỔ SUNG DT NĂM 2019</t>
  </si>
  <si>
    <t>TỔNG DỰ TOÁN NĂM 2019</t>
  </si>
  <si>
    <t>THỰC HIỆN 
11 THÁNG</t>
  </si>
  <si>
    <t>THỰC HiỆN THÁNG 12</t>
  </si>
  <si>
    <t>ƯỚC TH
 NĂM 2019</t>
  </si>
  <si>
    <t>SỐ TUYỆT ĐỐI
(TDT-UTH)</t>
  </si>
  <si>
    <t>TỶ LỆ
(UTH/TDT)</t>
  </si>
  <si>
    <t>(A)</t>
  </si>
  <si>
    <t>(B)</t>
  </si>
  <si>
    <t>A</t>
  </si>
  <si>
    <t>TỔNG CHI</t>
  </si>
  <si>
    <t>Chi đầu tư phát triển (1)</t>
  </si>
  <si>
    <t>Chi đầu tư XDCB</t>
  </si>
  <si>
    <t>Chi thường xuyên</t>
  </si>
  <si>
    <t>Chi công tác dân quân tự vệ, an ninh trật tự</t>
  </si>
  <si>
    <t>Chi  quốc phòng</t>
  </si>
  <si>
    <t>Chi hoạt động quốc phòng</t>
  </si>
  <si>
    <t>Chi phụ cấp theo luật DQTV</t>
  </si>
  <si>
    <t>Chi cho lực lượng DQTV</t>
  </si>
  <si>
    <t>Chi hoạt động an ninh trật tự</t>
  </si>
  <si>
    <t xml:space="preserve">Chi phụ cấp công an viên </t>
  </si>
  <si>
    <t>Chi HĐ ANTT</t>
  </si>
  <si>
    <t xml:space="preserve">Phụ cấp đội trưởng, đội phó đội dân phòng </t>
  </si>
  <si>
    <t xml:space="preserve">Sự nghiệp y tế </t>
  </si>
  <si>
    <t>Chi hoạt động y tế</t>
  </si>
  <si>
    <t>Chi hoạt động dân số</t>
  </si>
  <si>
    <t>Sự nghiệp văn hoá, thông tin</t>
  </si>
  <si>
    <t>3.1</t>
  </si>
  <si>
    <t xml:space="preserve"> Đài truyền thanh</t>
  </si>
  <si>
    <t>3.2</t>
  </si>
  <si>
    <t xml:space="preserve">Hoạt động VHTT </t>
  </si>
  <si>
    <t>3.3</t>
  </si>
  <si>
    <t>XD đời sống VH khu dân cư</t>
  </si>
  <si>
    <t>3.4</t>
  </si>
  <si>
    <t>Chi sự nghiệp TDTT</t>
  </si>
  <si>
    <t>3.5</t>
  </si>
  <si>
    <t>TTHTCĐ</t>
  </si>
  <si>
    <t>Sự nghiệp đào tạo CB</t>
  </si>
  <si>
    <t>Sự nghiệp kinh tế</t>
  </si>
  <si>
    <t>5.1</t>
  </si>
  <si>
    <t>Sự nghiệp giao thông</t>
  </si>
  <si>
    <t>5.2</t>
  </si>
  <si>
    <t>SN nông-lâm-thuỷ lợi- hải sản</t>
  </si>
  <si>
    <t>5.3</t>
  </si>
  <si>
    <t>SN thị chính</t>
  </si>
  <si>
    <t>5.4</t>
  </si>
  <si>
    <t>KP bảo vệ môi trường</t>
  </si>
  <si>
    <t>5.5</t>
  </si>
  <si>
    <t>Chi KP phòng chống thiên tai và TKCN</t>
  </si>
  <si>
    <t>5.7</t>
  </si>
  <si>
    <t>Các sự nghiệp khác</t>
  </si>
  <si>
    <t>Sự nghiệp xã hội</t>
  </si>
  <si>
    <t>6.1</t>
  </si>
  <si>
    <t xml:space="preserve"> Hưu xã và trợ cấp khác</t>
  </si>
  <si>
    <t>6.2</t>
  </si>
  <si>
    <t xml:space="preserve">Trợ cấp bảo trợ xã hội, thiếu nhi, </t>
  </si>
  <si>
    <t>6.3</t>
  </si>
  <si>
    <t>Khác (quà Tết GĐCS và 27/7)</t>
  </si>
  <si>
    <t>Chi quản lí nhà nước, Đảng, Đoàn thể</t>
  </si>
  <si>
    <t>Trong đó quỹ lương</t>
  </si>
  <si>
    <t>Lương CB CC, CT</t>
  </si>
  <si>
    <t xml:space="preserve">Phụ cấp CB không CT xã </t>
  </si>
  <si>
    <t xml:space="preserve">Phụ cấp không CT thôn </t>
  </si>
  <si>
    <t>Phụ cấp 300,000/1 thôn tổ ( NQ06)</t>
  </si>
  <si>
    <t>7.1</t>
  </si>
  <si>
    <t>Quản lí nhà nước</t>
  </si>
  <si>
    <t>*</t>
  </si>
  <si>
    <t>Lương, phụ cấp, BHXH, BHYT, KPCĐ</t>
  </si>
  <si>
    <t>Quản lí Nhà nước (hoạt động)</t>
  </si>
  <si>
    <t>Văn phòng phẩm</t>
  </si>
  <si>
    <t xml:space="preserve">Hội nghị </t>
  </si>
  <si>
    <t>Tiếp khách</t>
  </si>
  <si>
    <t>Sửa chữa máy pho to , vi tính</t>
  </si>
  <si>
    <t xml:space="preserve">Mua sắm vật dụng </t>
  </si>
  <si>
    <t xml:space="preserve">Mua sắm tài sản </t>
  </si>
  <si>
    <t>Hoạt động chung của ủy ban</t>
  </si>
  <si>
    <t>Chi bộ phận tiếp nhận và hoàn trả kết quả</t>
  </si>
  <si>
    <t xml:space="preserve">Công tác phí </t>
  </si>
  <si>
    <t xml:space="preserve">Chi khen thưởng </t>
  </si>
  <si>
    <t>Cước điện thoại mạng ADSL</t>
  </si>
  <si>
    <t>Nước sinh hoạt</t>
  </si>
  <si>
    <t xml:space="preserve">Điện sáng </t>
  </si>
  <si>
    <t xml:space="preserve">Công tác hòa giải ở cơ sở </t>
  </si>
  <si>
    <t>Lương CB hợp đồng</t>
  </si>
  <si>
    <t>7.2</t>
  </si>
  <si>
    <t xml:space="preserve">Đảng Cộng sản Việt Nam </t>
  </si>
  <si>
    <t xml:space="preserve">Phụ cấp cấp ủy </t>
  </si>
  <si>
    <t>Hoạt động</t>
  </si>
  <si>
    <t>7.3</t>
  </si>
  <si>
    <t xml:space="preserve">Mặt trận Tổ Quốc Việt Nam </t>
  </si>
  <si>
    <t>Hoạt động (định mức theo NQ 06: 15tr, ; hoạt động chi hội thôn: 10tr, 2.5tr các ngày lễ , giảm tiết kiệm 10% CCTL )</t>
  </si>
  <si>
    <t>7.4</t>
  </si>
  <si>
    <t>Đoàn Thanh niên Cộng sản Hồ Chí Minh</t>
  </si>
  <si>
    <t>Hoạt động (định mức theo NQ 06: 15tr, ; hoạt động chi hội thôn: 10tr,  , giảm tiết kiệm 10% CCTL )</t>
  </si>
  <si>
    <t>7.5</t>
  </si>
  <si>
    <t>Hội Liên hiệp Phụ nữ</t>
  </si>
  <si>
    <t>7.6</t>
  </si>
  <si>
    <t xml:space="preserve"> Hội Cựu chiến binh</t>
  </si>
  <si>
    <t>7.7</t>
  </si>
  <si>
    <t xml:space="preserve">Hội nông dân </t>
  </si>
  <si>
    <t>Đại hội ND</t>
  </si>
  <si>
    <t>Hoạt động (định mức theo NQ 06: 15tr, ; hoạt động chi hội thôn: 10tr, BS ĐH ND 5tr , giảm tiết kiệm 10% CCTL )</t>
  </si>
  <si>
    <t>7.8</t>
  </si>
  <si>
    <t>Hội đồng nhân dân</t>
  </si>
  <si>
    <t>Phụ cấp HĐND</t>
  </si>
  <si>
    <t xml:space="preserve">Hoạt động </t>
  </si>
  <si>
    <t>7.9</t>
  </si>
  <si>
    <t>Ban thanh tra nhân dân</t>
  </si>
  <si>
    <t>7.10</t>
  </si>
  <si>
    <t>Đoàn thể khác</t>
  </si>
  <si>
    <t>Hội người cao tuổi</t>
  </si>
  <si>
    <t>Hội chữ thập đỏ</t>
  </si>
  <si>
    <t>Chi khác</t>
  </si>
  <si>
    <t>C</t>
  </si>
  <si>
    <t>Dự phòng437</t>
  </si>
  <si>
    <t>Tiết kiệm 10% nguồn CCTL</t>
  </si>
  <si>
    <t>Chi để lại quản lí qua ngân sách xã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</si>
</sst>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9" fontId="3" fillId="0" borderId="3" xfId="2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9" fontId="4" fillId="0" borderId="3" xfId="2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shrinkToFit="1"/>
    </xf>
    <xf numFmtId="0" fontId="4" fillId="0" borderId="3" xfId="0" quotePrefix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 shrinkToFit="1"/>
    </xf>
    <xf numFmtId="0" fontId="3" fillId="0" borderId="3" xfId="0" quotePrefix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9" fontId="3" fillId="0" borderId="5" xfId="2" applyFont="1" applyBorder="1" applyAlignment="1">
      <alignment vertical="center"/>
    </xf>
    <xf numFmtId="164" fontId="3" fillId="0" borderId="4" xfId="0" applyNumberFormat="1" applyFont="1" applyBorder="1" applyAlignment="1">
      <alignment vertical="center" shrinkToFit="1"/>
    </xf>
    <xf numFmtId="9" fontId="3" fillId="0" borderId="4" xfId="2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9" fontId="3" fillId="0" borderId="0" xfId="2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vertical="center" shrinkToFit="1"/>
    </xf>
    <xf numFmtId="164" fontId="3" fillId="0" borderId="6" xfId="0" applyNumberFormat="1" applyFont="1" applyFill="1" applyBorder="1" applyAlignment="1">
      <alignment vertical="center"/>
    </xf>
    <xf numFmtId="9" fontId="3" fillId="0" borderId="6" xfId="2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 shrinkToFit="1"/>
    </xf>
    <xf numFmtId="164" fontId="4" fillId="0" borderId="6" xfId="0" applyNumberFormat="1" applyFont="1" applyFill="1" applyBorder="1" applyAlignment="1">
      <alignment vertical="center"/>
    </xf>
    <xf numFmtId="9" fontId="4" fillId="0" borderId="6" xfId="2" applyFont="1" applyFill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/>
    </xf>
    <xf numFmtId="164" fontId="4" fillId="0" borderId="6" xfId="2" applyNumberFormat="1" applyFont="1" applyFill="1" applyBorder="1" applyAlignment="1">
      <alignment vertical="center"/>
    </xf>
    <xf numFmtId="166" fontId="2" fillId="0" borderId="6" xfId="1" applyNumberFormat="1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shrinkToFit="1"/>
    </xf>
    <xf numFmtId="164" fontId="7" fillId="0" borderId="6" xfId="0" applyNumberFormat="1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</cellXfs>
  <cellStyles count="3">
    <cellStyle name="Bình thường" xfId="0" builtinId="0"/>
    <cellStyle name="Dấu phẩy" xfId="1" builtinId="3"/>
    <cellStyle name="Phần tră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R10" sqref="R10:R11"/>
    </sheetView>
  </sheetViews>
  <sheetFormatPr defaultColWidth="9.125" defaultRowHeight="15.75" x14ac:dyDescent="0.2"/>
  <cols>
    <col min="1" max="1" width="5.875" style="2" customWidth="1"/>
    <col min="2" max="2" width="62.125" style="5" customWidth="1"/>
    <col min="3" max="5" width="0" style="5" hidden="1" customWidth="1"/>
    <col min="6" max="7" width="22.25" style="5" hidden="1" customWidth="1"/>
    <col min="8" max="8" width="16.375" style="5" hidden="1" customWidth="1"/>
    <col min="9" max="9" width="18" style="5" hidden="1" customWidth="1"/>
    <col min="10" max="10" width="0" style="5" hidden="1" customWidth="1"/>
    <col min="11" max="11" width="16" style="5" hidden="1" customWidth="1"/>
    <col min="12" max="12" width="19.375" style="5" customWidth="1"/>
    <col min="13" max="13" width="11.25" style="5" hidden="1" customWidth="1"/>
    <col min="14" max="16384" width="9.125" style="5"/>
  </cols>
  <sheetData>
    <row r="1" spans="1:13" s="1" customForma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">
      <c r="B3" s="3"/>
      <c r="C3" s="3"/>
      <c r="D3" s="3"/>
      <c r="E3" s="3"/>
      <c r="F3" s="3"/>
      <c r="G3" s="4"/>
    </row>
    <row r="4" spans="1:13" s="1" customFormat="1" ht="78.75" x14ac:dyDescent="0.2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8" t="s">
        <v>14</v>
      </c>
    </row>
    <row r="5" spans="1:13" x14ac:dyDescent="0.2">
      <c r="A5" s="9" t="s">
        <v>15</v>
      </c>
      <c r="B5" s="10" t="s">
        <v>16</v>
      </c>
      <c r="C5" s="11">
        <f>C6+C10</f>
        <v>182000000</v>
      </c>
      <c r="D5" s="11">
        <f>D6+D10</f>
        <v>5770000</v>
      </c>
      <c r="E5" s="11">
        <f>E6+E10</f>
        <v>59000000</v>
      </c>
      <c r="F5" s="11">
        <f>F6+F10</f>
        <v>34000000</v>
      </c>
      <c r="G5" s="12">
        <f t="shared" ref="G5:G26" si="0">F5/C5</f>
        <v>0.18681318681318682</v>
      </c>
      <c r="H5" s="11">
        <f>H6+H10</f>
        <v>41000000</v>
      </c>
      <c r="I5" s="11">
        <f>I6+I10</f>
        <v>13146883</v>
      </c>
      <c r="J5" s="12">
        <f>I5/H5</f>
        <v>0.32065568292682928</v>
      </c>
      <c r="K5" s="11">
        <f>K6+K10</f>
        <v>24060235</v>
      </c>
      <c r="L5" s="11">
        <f>L6+L10</f>
        <v>42000000</v>
      </c>
      <c r="M5" s="12">
        <f>L5/H5</f>
        <v>1.024390243902439</v>
      </c>
    </row>
    <row r="6" spans="1:13" x14ac:dyDescent="0.2">
      <c r="A6" s="9">
        <v>1</v>
      </c>
      <c r="B6" s="10" t="s">
        <v>17</v>
      </c>
      <c r="C6" s="11">
        <f>C7+C8</f>
        <v>15000000</v>
      </c>
      <c r="D6" s="11">
        <f>D7+D8</f>
        <v>770000</v>
      </c>
      <c r="E6" s="11">
        <f>E7+E8</f>
        <v>3000000</v>
      </c>
      <c r="F6" s="11">
        <f>F7+F8</f>
        <v>10000000</v>
      </c>
      <c r="G6" s="12">
        <f t="shared" si="0"/>
        <v>0.66666666666666663</v>
      </c>
      <c r="H6" s="11">
        <f>H7+H8</f>
        <v>12000000</v>
      </c>
      <c r="I6" s="11">
        <f>I7+I8+I9</f>
        <v>7764273</v>
      </c>
      <c r="J6" s="12">
        <f t="shared" ref="J6:J28" si="1">I6/H6</f>
        <v>0.64702274999999998</v>
      </c>
      <c r="K6" s="11">
        <f>K7+K8+K9</f>
        <v>9980235</v>
      </c>
      <c r="L6" s="11">
        <f>L7+L8</f>
        <v>7000000</v>
      </c>
      <c r="M6" s="12">
        <f t="shared" ref="M6:M28" si="2">L6/H6</f>
        <v>0.58333333333333337</v>
      </c>
    </row>
    <row r="7" spans="1:13" x14ac:dyDescent="0.2">
      <c r="A7" s="14" t="s">
        <v>18</v>
      </c>
      <c r="B7" s="15" t="s">
        <v>19</v>
      </c>
      <c r="C7" s="16">
        <v>15000000</v>
      </c>
      <c r="D7" s="16">
        <v>770000</v>
      </c>
      <c r="E7" s="16">
        <v>3000000</v>
      </c>
      <c r="F7" s="16">
        <v>5000000</v>
      </c>
      <c r="G7" s="17">
        <f t="shared" si="0"/>
        <v>0.33333333333333331</v>
      </c>
      <c r="H7" s="16">
        <v>6000000</v>
      </c>
      <c r="I7" s="16">
        <v>1566000</v>
      </c>
      <c r="J7" s="17">
        <f t="shared" si="1"/>
        <v>0.26100000000000001</v>
      </c>
      <c r="K7" s="16">
        <v>3000000</v>
      </c>
      <c r="L7" s="16">
        <v>7000000</v>
      </c>
      <c r="M7" s="17">
        <f t="shared" si="2"/>
        <v>1.1666666666666667</v>
      </c>
    </row>
    <row r="8" spans="1:13" x14ac:dyDescent="0.2">
      <c r="A8" s="14" t="s">
        <v>20</v>
      </c>
      <c r="B8" s="15" t="s">
        <v>21</v>
      </c>
      <c r="C8" s="16"/>
      <c r="D8" s="16"/>
      <c r="E8" s="16"/>
      <c r="F8" s="16">
        <v>5000000</v>
      </c>
      <c r="G8" s="17"/>
      <c r="H8" s="16">
        <v>6000000</v>
      </c>
      <c r="I8" s="16">
        <v>5400000</v>
      </c>
      <c r="J8" s="17">
        <f t="shared" si="1"/>
        <v>0.9</v>
      </c>
      <c r="K8" s="16">
        <v>5400000</v>
      </c>
      <c r="L8" s="16"/>
      <c r="M8" s="17">
        <f t="shared" si="2"/>
        <v>0</v>
      </c>
    </row>
    <row r="9" spans="1:13" x14ac:dyDescent="0.2">
      <c r="A9" s="14" t="s">
        <v>22</v>
      </c>
      <c r="B9" s="15" t="s">
        <v>23</v>
      </c>
      <c r="C9" s="16"/>
      <c r="D9" s="16"/>
      <c r="E9" s="16"/>
      <c r="F9" s="16"/>
      <c r="G9" s="17"/>
      <c r="H9" s="16"/>
      <c r="I9" s="16">
        <v>798273</v>
      </c>
      <c r="J9" s="17"/>
      <c r="K9" s="16">
        <v>1580235</v>
      </c>
      <c r="L9" s="16"/>
      <c r="M9" s="12"/>
    </row>
    <row r="10" spans="1:13" x14ac:dyDescent="0.2">
      <c r="A10" s="9">
        <v>2</v>
      </c>
      <c r="B10" s="10" t="s">
        <v>24</v>
      </c>
      <c r="C10" s="11">
        <f>C11+C12+C13</f>
        <v>167000000</v>
      </c>
      <c r="D10" s="11">
        <f>D11+D12+D13</f>
        <v>5000000</v>
      </c>
      <c r="E10" s="11">
        <f>E11+E12+E13</f>
        <v>56000000</v>
      </c>
      <c r="F10" s="11">
        <f>F11+F12+F13</f>
        <v>24000000</v>
      </c>
      <c r="G10" s="12">
        <f t="shared" si="0"/>
        <v>0.1437125748502994</v>
      </c>
      <c r="H10" s="11">
        <f>H11+H12+H13</f>
        <v>29000000</v>
      </c>
      <c r="I10" s="11">
        <f>I11+I12+I13</f>
        <v>5382610</v>
      </c>
      <c r="J10" s="12">
        <f t="shared" si="1"/>
        <v>0.18560724137931034</v>
      </c>
      <c r="K10" s="11">
        <f>K11+K12+K13</f>
        <v>14080000</v>
      </c>
      <c r="L10" s="11">
        <f>L11+L12+L13</f>
        <v>35000000</v>
      </c>
      <c r="M10" s="12">
        <f t="shared" si="2"/>
        <v>1.2068965517241379</v>
      </c>
    </row>
    <row r="11" spans="1:13" x14ac:dyDescent="0.2">
      <c r="A11" s="14" t="s">
        <v>25</v>
      </c>
      <c r="B11" s="15" t="s">
        <v>26</v>
      </c>
      <c r="C11" s="16">
        <v>6000000</v>
      </c>
      <c r="D11" s="16">
        <v>0</v>
      </c>
      <c r="E11" s="16">
        <v>6000000</v>
      </c>
      <c r="F11" s="16">
        <v>10000000</v>
      </c>
      <c r="G11" s="17">
        <f t="shared" si="0"/>
        <v>1.6666666666666667</v>
      </c>
      <c r="H11" s="16">
        <v>15000000</v>
      </c>
      <c r="I11" s="16"/>
      <c r="J11" s="17">
        <f t="shared" si="1"/>
        <v>0</v>
      </c>
      <c r="K11" s="16">
        <v>8000000</v>
      </c>
      <c r="L11" s="16">
        <v>30000000</v>
      </c>
      <c r="M11" s="17">
        <f t="shared" si="2"/>
        <v>2</v>
      </c>
    </row>
    <row r="12" spans="1:13" x14ac:dyDescent="0.2">
      <c r="A12" s="14" t="s">
        <v>27</v>
      </c>
      <c r="B12" s="15" t="s">
        <v>28</v>
      </c>
      <c r="C12" s="16">
        <v>15000000</v>
      </c>
      <c r="D12" s="16">
        <v>5000000</v>
      </c>
      <c r="E12" s="16">
        <v>20000000</v>
      </c>
      <c r="F12" s="16">
        <v>14000000</v>
      </c>
      <c r="G12" s="17">
        <f t="shared" si="0"/>
        <v>0.93333333333333335</v>
      </c>
      <c r="H12" s="16">
        <v>14000000</v>
      </c>
      <c r="I12" s="16">
        <v>5200000</v>
      </c>
      <c r="J12" s="17">
        <f t="shared" si="1"/>
        <v>0.37142857142857144</v>
      </c>
      <c r="K12" s="16">
        <v>5200000</v>
      </c>
      <c r="L12" s="16">
        <v>5000000</v>
      </c>
      <c r="M12" s="17">
        <f t="shared" si="2"/>
        <v>0.35714285714285715</v>
      </c>
    </row>
    <row r="13" spans="1:13" x14ac:dyDescent="0.2">
      <c r="A13" s="14" t="s">
        <v>29</v>
      </c>
      <c r="B13" s="15" t="s">
        <v>30</v>
      </c>
      <c r="C13" s="16">
        <v>146000000</v>
      </c>
      <c r="D13" s="16"/>
      <c r="E13" s="16">
        <v>30000000</v>
      </c>
      <c r="F13" s="16">
        <v>0</v>
      </c>
      <c r="G13" s="17">
        <f t="shared" si="0"/>
        <v>0</v>
      </c>
      <c r="H13" s="16">
        <v>0</v>
      </c>
      <c r="I13" s="16">
        <v>182610</v>
      </c>
      <c r="J13" s="17"/>
      <c r="K13" s="16">
        <v>880000</v>
      </c>
      <c r="L13" s="16">
        <v>0</v>
      </c>
      <c r="M13" s="12"/>
    </row>
    <row r="14" spans="1:13" x14ac:dyDescent="0.2">
      <c r="A14" s="9" t="s">
        <v>31</v>
      </c>
      <c r="B14" s="18" t="s">
        <v>32</v>
      </c>
      <c r="C14" s="11">
        <f>C15+C18</f>
        <v>85000000</v>
      </c>
      <c r="D14" s="11">
        <f>D15+D18</f>
        <v>109339335</v>
      </c>
      <c r="E14" s="11">
        <f>E15+E18</f>
        <v>448000000</v>
      </c>
      <c r="F14" s="11">
        <f>F15+F18</f>
        <v>116000000</v>
      </c>
      <c r="G14" s="12">
        <f t="shared" si="0"/>
        <v>1.3647058823529412</v>
      </c>
      <c r="H14" s="19">
        <f>H15+H18</f>
        <v>125000000</v>
      </c>
      <c r="I14" s="19">
        <f t="shared" ref="I14:K14" si="3">I15+I18</f>
        <v>193721970</v>
      </c>
      <c r="J14" s="19">
        <f t="shared" si="3"/>
        <v>0.94162111999999998</v>
      </c>
      <c r="K14" s="19">
        <f t="shared" si="3"/>
        <v>238139245</v>
      </c>
      <c r="L14" s="19">
        <f>L15+L21</f>
        <v>2575000000</v>
      </c>
      <c r="M14" s="12">
        <f t="shared" si="2"/>
        <v>20.6</v>
      </c>
    </row>
    <row r="15" spans="1:13" s="1" customFormat="1" x14ac:dyDescent="0.2">
      <c r="A15" s="9">
        <v>1</v>
      </c>
      <c r="B15" s="18" t="s">
        <v>33</v>
      </c>
      <c r="C15" s="11">
        <f>SUM(C16:C17)</f>
        <v>85000000</v>
      </c>
      <c r="D15" s="11">
        <f>SUM(D16:D16)</f>
        <v>109339335</v>
      </c>
      <c r="E15" s="19">
        <f>SUM(E16:E17)</f>
        <v>325000000</v>
      </c>
      <c r="F15" s="11">
        <f>SUM(F16:F17)</f>
        <v>116000000</v>
      </c>
      <c r="G15" s="12">
        <f t="shared" si="0"/>
        <v>1.3647058823529412</v>
      </c>
      <c r="H15" s="19">
        <f>SUM(H16:H17)</f>
        <v>125000000</v>
      </c>
      <c r="I15" s="19">
        <f>SUM(I16:I17)</f>
        <v>117702640</v>
      </c>
      <c r="J15" s="19">
        <f t="shared" si="1"/>
        <v>0.94162111999999998</v>
      </c>
      <c r="K15" s="19">
        <f>SUM(K16:K17)</f>
        <v>119266640</v>
      </c>
      <c r="L15" s="19">
        <f>SUM(L16:L17)</f>
        <v>75000000</v>
      </c>
      <c r="M15" s="12">
        <f t="shared" si="2"/>
        <v>0.6</v>
      </c>
    </row>
    <row r="16" spans="1:13" x14ac:dyDescent="0.2">
      <c r="A16" s="20" t="s">
        <v>34</v>
      </c>
      <c r="B16" s="15" t="s">
        <v>35</v>
      </c>
      <c r="C16" s="16">
        <v>75000000</v>
      </c>
      <c r="D16" s="16">
        <v>109339335</v>
      </c>
      <c r="E16" s="16">
        <v>225000000</v>
      </c>
      <c r="F16" s="16">
        <v>76000000</v>
      </c>
      <c r="G16" s="17">
        <f t="shared" si="0"/>
        <v>1.0133333333333334</v>
      </c>
      <c r="H16" s="21">
        <v>80000000</v>
      </c>
      <c r="I16" s="21">
        <v>49396909</v>
      </c>
      <c r="J16" s="21">
        <f t="shared" si="1"/>
        <v>0.61746136250000005</v>
      </c>
      <c r="K16" s="21">
        <v>50439575</v>
      </c>
      <c r="L16" s="16">
        <v>50000000</v>
      </c>
      <c r="M16" s="17">
        <f t="shared" si="2"/>
        <v>0.625</v>
      </c>
    </row>
    <row r="17" spans="1:13" x14ac:dyDescent="0.2">
      <c r="A17" s="20" t="s">
        <v>34</v>
      </c>
      <c r="B17" s="15" t="s">
        <v>36</v>
      </c>
      <c r="C17" s="16">
        <v>10000000</v>
      </c>
      <c r="D17" s="16">
        <v>48768665</v>
      </c>
      <c r="E17" s="16">
        <v>100000000</v>
      </c>
      <c r="F17" s="16">
        <v>40000000</v>
      </c>
      <c r="G17" s="17">
        <f t="shared" si="0"/>
        <v>4</v>
      </c>
      <c r="H17" s="21">
        <v>45000000</v>
      </c>
      <c r="I17" s="21">
        <v>68305731</v>
      </c>
      <c r="J17" s="21">
        <f t="shared" si="1"/>
        <v>1.5179051333333333</v>
      </c>
      <c r="K17" s="21">
        <v>68827065</v>
      </c>
      <c r="L17" s="16">
        <v>25000000</v>
      </c>
      <c r="M17" s="17">
        <f t="shared" si="2"/>
        <v>0.55555555555555558</v>
      </c>
    </row>
    <row r="18" spans="1:13" s="1" customFormat="1" x14ac:dyDescent="0.2">
      <c r="A18" s="9">
        <v>2</v>
      </c>
      <c r="B18" s="10" t="s">
        <v>37</v>
      </c>
      <c r="C18" s="11"/>
      <c r="D18" s="11"/>
      <c r="E18" s="11">
        <f>E19+E20</f>
        <v>123000000</v>
      </c>
      <c r="F18" s="11"/>
      <c r="G18" s="12"/>
      <c r="H18" s="19"/>
      <c r="I18" s="19">
        <f>I19+I20+I21</f>
        <v>76019330</v>
      </c>
      <c r="J18" s="19"/>
      <c r="K18" s="19">
        <f>K19+K20+K21</f>
        <v>118872605</v>
      </c>
      <c r="L18" s="19"/>
      <c r="M18" s="12"/>
    </row>
    <row r="19" spans="1:13" x14ac:dyDescent="0.2">
      <c r="A19" s="22" t="s">
        <v>34</v>
      </c>
      <c r="B19" s="15" t="s">
        <v>38</v>
      </c>
      <c r="C19" s="16"/>
      <c r="D19" s="16"/>
      <c r="E19" s="16">
        <v>110000000</v>
      </c>
      <c r="F19" s="16"/>
      <c r="G19" s="17"/>
      <c r="H19" s="19"/>
      <c r="I19" s="19">
        <v>47340680</v>
      </c>
      <c r="J19" s="19"/>
      <c r="K19" s="21">
        <v>56593955</v>
      </c>
      <c r="L19" s="16"/>
      <c r="M19" s="12"/>
    </row>
    <row r="20" spans="1:13" x14ac:dyDescent="0.2">
      <c r="A20" s="22" t="s">
        <v>34</v>
      </c>
      <c r="B20" s="15" t="s">
        <v>39</v>
      </c>
      <c r="C20" s="16"/>
      <c r="D20" s="16"/>
      <c r="E20" s="16">
        <v>13000000</v>
      </c>
      <c r="F20" s="16"/>
      <c r="G20" s="17"/>
      <c r="H20" s="19"/>
      <c r="I20" s="19"/>
      <c r="J20" s="19"/>
      <c r="K20" s="21"/>
      <c r="L20" s="16"/>
      <c r="M20" s="12"/>
    </row>
    <row r="21" spans="1:13" x14ac:dyDescent="0.2">
      <c r="A21" s="9" t="s">
        <v>34</v>
      </c>
      <c r="B21" s="15" t="s">
        <v>40</v>
      </c>
      <c r="C21" s="16"/>
      <c r="D21" s="16"/>
      <c r="E21" s="16"/>
      <c r="F21" s="16"/>
      <c r="G21" s="17"/>
      <c r="H21" s="19"/>
      <c r="I21" s="19">
        <v>28678650</v>
      </c>
      <c r="J21" s="19"/>
      <c r="K21" s="21">
        <v>62278650</v>
      </c>
      <c r="L21" s="11">
        <v>2500000000</v>
      </c>
      <c r="M21" s="12"/>
    </row>
    <row r="22" spans="1:13" s="1" customFormat="1" x14ac:dyDescent="0.2">
      <c r="A22" s="9" t="s">
        <v>41</v>
      </c>
      <c r="B22" s="10" t="s">
        <v>42</v>
      </c>
      <c r="C22" s="11"/>
      <c r="D22" s="11"/>
      <c r="E22" s="11"/>
      <c r="F22" s="11"/>
      <c r="G22" s="17"/>
      <c r="H22" s="19"/>
      <c r="I22" s="19"/>
      <c r="J22" s="19"/>
      <c r="K22" s="19"/>
      <c r="L22" s="11"/>
      <c r="M22" s="12"/>
    </row>
    <row r="23" spans="1:13" s="1" customFormat="1" x14ac:dyDescent="0.2">
      <c r="A23" s="9" t="s">
        <v>43</v>
      </c>
      <c r="B23" s="10" t="s">
        <v>44</v>
      </c>
      <c r="C23" s="11"/>
      <c r="D23" s="11">
        <v>36000000</v>
      </c>
      <c r="E23" s="11">
        <v>36000000</v>
      </c>
      <c r="F23" s="11"/>
      <c r="G23" s="17"/>
      <c r="H23" s="19"/>
      <c r="I23" s="19">
        <v>501826084</v>
      </c>
      <c r="J23" s="19"/>
      <c r="K23" s="19">
        <v>501826084</v>
      </c>
      <c r="L23" s="11"/>
      <c r="M23" s="12"/>
    </row>
    <row r="24" spans="1:13" s="1" customFormat="1" x14ac:dyDescent="0.2">
      <c r="A24" s="9" t="s">
        <v>45</v>
      </c>
      <c r="B24" s="10" t="s">
        <v>46</v>
      </c>
      <c r="C24" s="11"/>
      <c r="D24" s="11">
        <v>1329521</v>
      </c>
      <c r="E24" s="11">
        <v>1329521</v>
      </c>
      <c r="F24" s="11"/>
      <c r="G24" s="17"/>
      <c r="H24" s="19"/>
      <c r="I24" s="19">
        <v>163394475</v>
      </c>
      <c r="J24" s="19"/>
      <c r="K24" s="19">
        <v>163394475</v>
      </c>
      <c r="L24" s="11"/>
      <c r="M24" s="12"/>
    </row>
    <row r="25" spans="1:13" s="1" customFormat="1" x14ac:dyDescent="0.2">
      <c r="A25" s="9" t="s">
        <v>47</v>
      </c>
      <c r="B25" s="18" t="s">
        <v>48</v>
      </c>
      <c r="C25" s="19">
        <f>C26+C27</f>
        <v>3184000000</v>
      </c>
      <c r="D25" s="19">
        <f>D26+D27</f>
        <v>1106100000</v>
      </c>
      <c r="E25" s="19">
        <f>E26+E27</f>
        <v>3811100000</v>
      </c>
      <c r="F25" s="19">
        <f>F26+F27</f>
        <v>3826400000</v>
      </c>
      <c r="G25" s="19">
        <f t="shared" ref="G25:K25" si="4">G26+G27</f>
        <v>1.0751884422110554</v>
      </c>
      <c r="H25" s="19">
        <f t="shared" si="4"/>
        <v>3726000000</v>
      </c>
      <c r="I25" s="19">
        <f t="shared" si="4"/>
        <v>3511432000</v>
      </c>
      <c r="J25" s="12">
        <f t="shared" si="1"/>
        <v>0.94241331186258726</v>
      </c>
      <c r="K25" s="19">
        <f t="shared" si="4"/>
        <v>4659432000</v>
      </c>
      <c r="L25" s="19">
        <f>L26+L27</f>
        <v>4096300000</v>
      </c>
      <c r="M25" s="12">
        <f t="shared" si="2"/>
        <v>1.0993827160493828</v>
      </c>
    </row>
    <row r="26" spans="1:13" s="1" customFormat="1" x14ac:dyDescent="0.2">
      <c r="A26" s="9">
        <v>1</v>
      </c>
      <c r="B26" s="10" t="s">
        <v>49</v>
      </c>
      <c r="C26" s="11">
        <v>3184000000</v>
      </c>
      <c r="D26" s="11">
        <v>1034000000</v>
      </c>
      <c r="E26" s="11">
        <v>3184000000</v>
      </c>
      <c r="F26" s="11">
        <v>3423400000</v>
      </c>
      <c r="G26" s="12">
        <f t="shared" si="0"/>
        <v>1.0751884422110554</v>
      </c>
      <c r="H26" s="19">
        <v>3228000000</v>
      </c>
      <c r="I26" s="19">
        <v>2080000000</v>
      </c>
      <c r="J26" s="12">
        <f t="shared" si="1"/>
        <v>0.64436183395291202</v>
      </c>
      <c r="K26" s="19">
        <v>3228000000</v>
      </c>
      <c r="L26" s="19">
        <v>3994300000</v>
      </c>
      <c r="M26" s="12">
        <f t="shared" si="2"/>
        <v>1.2373915737298637</v>
      </c>
    </row>
    <row r="27" spans="1:13" s="1" customFormat="1" x14ac:dyDescent="0.2">
      <c r="A27" s="9">
        <v>2</v>
      </c>
      <c r="B27" s="10" t="s">
        <v>50</v>
      </c>
      <c r="C27" s="11"/>
      <c r="D27" s="11">
        <v>72100000</v>
      </c>
      <c r="E27" s="11">
        <v>627100000</v>
      </c>
      <c r="F27" s="11">
        <v>403000000</v>
      </c>
      <c r="G27" s="12"/>
      <c r="H27" s="19">
        <v>498000000</v>
      </c>
      <c r="I27" s="19">
        <v>1431432000</v>
      </c>
      <c r="J27" s="12">
        <f t="shared" si="1"/>
        <v>2.8743614457831326</v>
      </c>
      <c r="K27" s="19">
        <v>1431432000</v>
      </c>
      <c r="L27" s="19">
        <v>102000000</v>
      </c>
      <c r="M27" s="12">
        <f t="shared" si="2"/>
        <v>0.20481927710843373</v>
      </c>
    </row>
    <row r="28" spans="1:13" s="1" customFormat="1" x14ac:dyDescent="0.2">
      <c r="A28" s="33" t="s">
        <v>51</v>
      </c>
      <c r="B28" s="33"/>
      <c r="C28" s="23"/>
      <c r="D28" s="23"/>
      <c r="E28" s="23"/>
      <c r="F28" s="24">
        <f>F5+F14+F22+F23+F24+F25</f>
        <v>3976400000</v>
      </c>
      <c r="G28" s="25"/>
      <c r="H28" s="26">
        <f>H5+H14+H22+H23+H24+H25</f>
        <v>3892000000</v>
      </c>
      <c r="I28" s="26">
        <f>I5+I14+I22+I23+I24+I25</f>
        <v>4383521412</v>
      </c>
      <c r="J28" s="27">
        <f t="shared" si="1"/>
        <v>1.1262901880781089</v>
      </c>
      <c r="K28" s="26">
        <f>K5+K14+K22+K23+K24+K25</f>
        <v>5586852039</v>
      </c>
      <c r="L28" s="26">
        <f>L5+L14+L22+L23+L24+L25</f>
        <v>6713300000</v>
      </c>
      <c r="M28" s="27">
        <f t="shared" si="2"/>
        <v>1.7248972250770811</v>
      </c>
    </row>
    <row r="29" spans="1:13" hidden="1" x14ac:dyDescent="0.2">
      <c r="C29" s="1"/>
      <c r="D29" s="1"/>
      <c r="E29" s="28"/>
      <c r="F29" s="28"/>
      <c r="G29" s="29"/>
      <c r="I29" s="13">
        <f>I28-I23-I24-497940000</f>
        <v>3220360853</v>
      </c>
    </row>
    <row r="30" spans="1:13" x14ac:dyDescent="0.2">
      <c r="B30" s="2"/>
      <c r="C30" s="34"/>
      <c r="D30" s="34"/>
      <c r="E30" s="34"/>
      <c r="F30" s="34"/>
      <c r="G30" s="34"/>
      <c r="I30" s="5">
        <f>I29/H28</f>
        <v>0.82743084609455297</v>
      </c>
    </row>
    <row r="31" spans="1:13" x14ac:dyDescent="0.2">
      <c r="B31" s="2"/>
      <c r="C31" s="35"/>
      <c r="D31" s="35"/>
      <c r="E31" s="35"/>
      <c r="F31" s="35"/>
      <c r="G31" s="35"/>
    </row>
    <row r="32" spans="1:13" x14ac:dyDescent="0.2">
      <c r="C32" s="13"/>
      <c r="D32" s="13"/>
      <c r="E32" s="13"/>
      <c r="F32" s="13"/>
      <c r="K32" s="13"/>
      <c r="L32" s="13"/>
    </row>
    <row r="33" spans="3:6" x14ac:dyDescent="0.2">
      <c r="C33" s="13"/>
      <c r="D33" s="13"/>
      <c r="E33" s="13"/>
      <c r="F33" s="13"/>
    </row>
  </sheetData>
  <mergeCells count="5">
    <mergeCell ref="A1:M1"/>
    <mergeCell ref="A2:M2"/>
    <mergeCell ref="A28:B28"/>
    <mergeCell ref="C30:G30"/>
    <mergeCell ref="C31:G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A16" workbookViewId="0">
      <selection activeCell="P27" sqref="P27"/>
    </sheetView>
  </sheetViews>
  <sheetFormatPr defaultColWidth="9.125" defaultRowHeight="15.75" x14ac:dyDescent="0.2"/>
  <cols>
    <col min="1" max="1" width="8.625" style="38" customWidth="1"/>
    <col min="2" max="2" width="61.25" style="37" customWidth="1"/>
    <col min="3" max="5" width="13.625" style="37" hidden="1" customWidth="1"/>
    <col min="6" max="7" width="13.625" style="40" hidden="1" customWidth="1"/>
    <col min="8" max="8" width="16.125" style="37" hidden="1" customWidth="1"/>
    <col min="9" max="9" width="13.625" style="37" hidden="1" customWidth="1"/>
    <col min="10" max="10" width="0" style="37" hidden="1" customWidth="1"/>
    <col min="11" max="11" width="21.625" style="37" customWidth="1"/>
    <col min="12" max="16384" width="9.125" style="37"/>
  </cols>
  <sheetData>
    <row r="1" spans="1:11" s="37" customFormat="1" ht="35.25" customHeight="1" x14ac:dyDescent="0.2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9.75" customHeight="1" x14ac:dyDescent="0.2">
      <c r="A2" s="38"/>
      <c r="B2" s="39"/>
      <c r="C2" s="39"/>
      <c r="F2" s="40"/>
      <c r="G2" s="40"/>
    </row>
    <row r="3" spans="1:11" s="43" customFormat="1" ht="31.5" customHeight="1" x14ac:dyDescent="0.2">
      <c r="A3" s="41" t="s">
        <v>2</v>
      </c>
      <c r="B3" s="41" t="s">
        <v>3</v>
      </c>
      <c r="C3" s="30" t="s">
        <v>53</v>
      </c>
      <c r="D3" s="30" t="s">
        <v>54</v>
      </c>
      <c r="E3" s="30" t="s">
        <v>55</v>
      </c>
      <c r="F3" s="30" t="s">
        <v>56</v>
      </c>
      <c r="G3" s="30" t="s">
        <v>57</v>
      </c>
      <c r="H3" s="30" t="s">
        <v>58</v>
      </c>
      <c r="I3" s="42" t="s">
        <v>59</v>
      </c>
      <c r="J3" s="42" t="s">
        <v>60</v>
      </c>
      <c r="K3" s="42" t="s">
        <v>13</v>
      </c>
    </row>
    <row r="4" spans="1:11" s="43" customFormat="1" ht="16.5" customHeight="1" x14ac:dyDescent="0.2">
      <c r="A4" s="41" t="s">
        <v>61</v>
      </c>
      <c r="B4" s="41" t="s">
        <v>62</v>
      </c>
      <c r="C4" s="30"/>
      <c r="D4" s="30"/>
      <c r="E4" s="30"/>
      <c r="F4" s="30"/>
      <c r="G4" s="30"/>
      <c r="H4" s="30"/>
      <c r="I4" s="44"/>
      <c r="J4" s="44"/>
      <c r="K4" s="44"/>
    </row>
    <row r="5" spans="1:11" s="37" customFormat="1" ht="18.75" customHeight="1" x14ac:dyDescent="0.2">
      <c r="A5" s="41" t="s">
        <v>63</v>
      </c>
      <c r="B5" s="45" t="s">
        <v>64</v>
      </c>
      <c r="C5" s="46">
        <f>C6+C8+C87</f>
        <v>3962400000</v>
      </c>
      <c r="D5" s="46" t="e">
        <f>D6+D8+D87</f>
        <v>#REF!</v>
      </c>
      <c r="E5" s="46" t="e">
        <f>E6+E8+E87</f>
        <v>#REF!</v>
      </c>
      <c r="F5" s="46" t="e">
        <f>F6+F8+F87</f>
        <v>#REF!</v>
      </c>
      <c r="G5" s="46" t="e">
        <f>G6+G8+G87</f>
        <v>#REF!</v>
      </c>
      <c r="H5" s="47" t="e">
        <f>F5+G5</f>
        <v>#REF!</v>
      </c>
      <c r="I5" s="47" t="e">
        <f>E5-H5</f>
        <v>#REF!</v>
      </c>
      <c r="J5" s="48" t="e">
        <f>H5/E5</f>
        <v>#REF!</v>
      </c>
      <c r="K5" s="46">
        <f>K6+K8+K85</f>
        <v>6713300000</v>
      </c>
    </row>
    <row r="6" spans="1:11" s="37" customFormat="1" ht="18.75" customHeight="1" x14ac:dyDescent="0.2">
      <c r="A6" s="41" t="s">
        <v>15</v>
      </c>
      <c r="B6" s="49" t="s">
        <v>65</v>
      </c>
      <c r="C6" s="46">
        <f>C7</f>
        <v>0</v>
      </c>
      <c r="D6" s="46">
        <f>D7</f>
        <v>0</v>
      </c>
      <c r="E6" s="46">
        <f>C6+D6</f>
        <v>0</v>
      </c>
      <c r="F6" s="47">
        <f>F7</f>
        <v>0</v>
      </c>
      <c r="G6" s="47"/>
      <c r="H6" s="47">
        <f t="shared" ref="H6:H71" si="0">F6+G6</f>
        <v>0</v>
      </c>
      <c r="I6" s="47">
        <f>D6-H6</f>
        <v>0</v>
      </c>
      <c r="J6" s="48" t="e">
        <f t="shared" ref="J6:J72" si="1">H6/E6</f>
        <v>#DIV/0!</v>
      </c>
      <c r="K6" s="46">
        <f>K7</f>
        <v>2500000000</v>
      </c>
    </row>
    <row r="7" spans="1:11" s="37" customFormat="1" ht="18.75" customHeight="1" x14ac:dyDescent="0.2">
      <c r="A7" s="41">
        <v>1</v>
      </c>
      <c r="B7" s="50" t="s">
        <v>66</v>
      </c>
      <c r="C7" s="51"/>
      <c r="D7" s="51"/>
      <c r="E7" s="51"/>
      <c r="F7" s="52"/>
      <c r="G7" s="52"/>
      <c r="H7" s="52"/>
      <c r="I7" s="52"/>
      <c r="J7" s="53" t="e">
        <f t="shared" si="1"/>
        <v>#DIV/0!</v>
      </c>
      <c r="K7" s="51">
        <v>2500000000</v>
      </c>
    </row>
    <row r="8" spans="1:11" s="37" customFormat="1" ht="18.75" customHeight="1" x14ac:dyDescent="0.2">
      <c r="A8" s="41" t="s">
        <v>31</v>
      </c>
      <c r="B8" s="49" t="s">
        <v>67</v>
      </c>
      <c r="C8" s="46">
        <f>C9+C18+C21+C27+C28+C35+C39+C84+C85</f>
        <v>3962400000</v>
      </c>
      <c r="D8" s="46" t="e">
        <f>D9+D18+D21+D27+D28+D35+D39+D84+D85</f>
        <v>#REF!</v>
      </c>
      <c r="E8" s="46" t="e">
        <f>C8+D8</f>
        <v>#REF!</v>
      </c>
      <c r="F8" s="46" t="e">
        <f>F9+F18+F21+F27+F28+F35+F39+F84+F85</f>
        <v>#REF!</v>
      </c>
      <c r="G8" s="46" t="e">
        <f>G9+G18+G21+G27+G28+G35+G39+G84+G85</f>
        <v>#REF!</v>
      </c>
      <c r="H8" s="47" t="e">
        <f t="shared" si="0"/>
        <v>#REF!</v>
      </c>
      <c r="I8" s="47" t="e">
        <f t="shared" ref="I8:I73" si="2">E8-H8</f>
        <v>#REF!</v>
      </c>
      <c r="J8" s="48" t="e">
        <f t="shared" si="1"/>
        <v>#REF!</v>
      </c>
      <c r="K8" s="46">
        <f>K9+K18+K21+K27+K28+K35+K39+K84+K86</f>
        <v>4130300000</v>
      </c>
    </row>
    <row r="9" spans="1:11" s="43" customFormat="1" ht="18.75" customHeight="1" x14ac:dyDescent="0.2">
      <c r="A9" s="41">
        <v>1</v>
      </c>
      <c r="B9" s="54" t="s">
        <v>68</v>
      </c>
      <c r="C9" s="46">
        <f>C10+C14</f>
        <v>95000000</v>
      </c>
      <c r="D9" s="46">
        <f>D10+D14</f>
        <v>49000000</v>
      </c>
      <c r="E9" s="46">
        <f>C9+D9</f>
        <v>144000000</v>
      </c>
      <c r="F9" s="46">
        <f>F10+F14</f>
        <v>120795000</v>
      </c>
      <c r="G9" s="46">
        <f>G10+G14</f>
        <v>19036000</v>
      </c>
      <c r="H9" s="47">
        <f t="shared" si="0"/>
        <v>139831000</v>
      </c>
      <c r="I9" s="47">
        <f t="shared" si="2"/>
        <v>4169000</v>
      </c>
      <c r="J9" s="48">
        <f t="shared" si="1"/>
        <v>0.97104861111111107</v>
      </c>
      <c r="K9" s="46">
        <f>K10+K14</f>
        <v>452900000</v>
      </c>
    </row>
    <row r="10" spans="1:11" s="37" customFormat="1" ht="18.75" customHeight="1" x14ac:dyDescent="0.2">
      <c r="A10" s="55" t="s">
        <v>18</v>
      </c>
      <c r="B10" s="50" t="s">
        <v>69</v>
      </c>
      <c r="C10" s="51">
        <v>70000000</v>
      </c>
      <c r="D10" s="56">
        <f>20000000+10000000</f>
        <v>30000000</v>
      </c>
      <c r="E10" s="51">
        <f>C10+D10</f>
        <v>100000000</v>
      </c>
      <c r="F10" s="52">
        <f>220000+180000+91945000</f>
        <v>92345000</v>
      </c>
      <c r="G10" s="52">
        <f>2000000+2423000+180000+1550000+350000</f>
        <v>6503000</v>
      </c>
      <c r="H10" s="52">
        <f t="shared" si="0"/>
        <v>98848000</v>
      </c>
      <c r="I10" s="52">
        <f t="shared" si="2"/>
        <v>1152000</v>
      </c>
      <c r="J10" s="53">
        <f t="shared" si="1"/>
        <v>0.98848000000000003</v>
      </c>
      <c r="K10" s="57">
        <f>K11+K12+K13</f>
        <v>257100000</v>
      </c>
    </row>
    <row r="11" spans="1:11" s="37" customFormat="1" ht="18.75" customHeight="1" x14ac:dyDescent="0.2">
      <c r="A11" s="55"/>
      <c r="B11" s="50" t="s">
        <v>70</v>
      </c>
      <c r="C11" s="51"/>
      <c r="D11" s="56"/>
      <c r="E11" s="51"/>
      <c r="F11" s="52"/>
      <c r="G11" s="52"/>
      <c r="H11" s="52"/>
      <c r="I11" s="52"/>
      <c r="J11" s="53"/>
      <c r="K11" s="58">
        <f>15000000-6000000</f>
        <v>9000000</v>
      </c>
    </row>
    <row r="12" spans="1:11" s="37" customFormat="1" ht="18.75" customHeight="1" x14ac:dyDescent="0.2">
      <c r="A12" s="55"/>
      <c r="B12" s="50" t="s">
        <v>71</v>
      </c>
      <c r="C12" s="51"/>
      <c r="D12" s="56"/>
      <c r="E12" s="51"/>
      <c r="F12" s="52"/>
      <c r="G12" s="52"/>
      <c r="H12" s="52"/>
      <c r="I12" s="52"/>
      <c r="J12" s="53"/>
      <c r="K12" s="58">
        <v>153100000</v>
      </c>
    </row>
    <row r="13" spans="1:11" s="37" customFormat="1" ht="18.75" customHeight="1" x14ac:dyDescent="0.2">
      <c r="A13" s="55"/>
      <c r="B13" s="50" t="s">
        <v>72</v>
      </c>
      <c r="C13" s="51"/>
      <c r="D13" s="56"/>
      <c r="E13" s="51"/>
      <c r="F13" s="52"/>
      <c r="G13" s="52"/>
      <c r="H13" s="52"/>
      <c r="I13" s="52"/>
      <c r="J13" s="53"/>
      <c r="K13" s="58">
        <v>95000000</v>
      </c>
    </row>
    <row r="14" spans="1:11" s="37" customFormat="1" ht="18.75" customHeight="1" x14ac:dyDescent="0.2">
      <c r="A14" s="55" t="s">
        <v>20</v>
      </c>
      <c r="B14" s="50" t="s">
        <v>73</v>
      </c>
      <c r="C14" s="51">
        <v>25000000</v>
      </c>
      <c r="D14" s="56">
        <f>4000000+10000000+5000000</f>
        <v>19000000</v>
      </c>
      <c r="E14" s="51">
        <f t="shared" ref="E14:E79" si="3">C14+D14</f>
        <v>44000000</v>
      </c>
      <c r="F14" s="52">
        <f>600000+150000+27700000</f>
        <v>28450000</v>
      </c>
      <c r="G14" s="52">
        <f>6300000+2233000+4000000</f>
        <v>12533000</v>
      </c>
      <c r="H14" s="52">
        <f t="shared" si="0"/>
        <v>40983000</v>
      </c>
      <c r="I14" s="52">
        <f t="shared" si="2"/>
        <v>3017000</v>
      </c>
      <c r="J14" s="53">
        <f t="shared" si="1"/>
        <v>0.93143181818181819</v>
      </c>
      <c r="K14" s="46">
        <f>K15+K16+K17</f>
        <v>195800000</v>
      </c>
    </row>
    <row r="15" spans="1:11" s="37" customFormat="1" ht="18.75" customHeight="1" x14ac:dyDescent="0.2">
      <c r="A15" s="55"/>
      <c r="B15" s="50" t="s">
        <v>74</v>
      </c>
      <c r="C15" s="51"/>
      <c r="D15" s="56"/>
      <c r="E15" s="51"/>
      <c r="F15" s="52"/>
      <c r="G15" s="52"/>
      <c r="H15" s="52"/>
      <c r="I15" s="52"/>
      <c r="J15" s="53"/>
      <c r="K15" s="51">
        <v>89400000</v>
      </c>
    </row>
    <row r="16" spans="1:11" s="37" customFormat="1" ht="18.75" customHeight="1" x14ac:dyDescent="0.2">
      <c r="A16" s="55"/>
      <c r="B16" s="50" t="s">
        <v>75</v>
      </c>
      <c r="C16" s="51"/>
      <c r="D16" s="56"/>
      <c r="E16" s="51"/>
      <c r="F16" s="52"/>
      <c r="G16" s="52"/>
      <c r="H16" s="52"/>
      <c r="I16" s="52"/>
      <c r="J16" s="53"/>
      <c r="K16" s="51">
        <v>30000000</v>
      </c>
    </row>
    <row r="17" spans="1:11" s="37" customFormat="1" ht="18.75" customHeight="1" x14ac:dyDescent="0.2">
      <c r="A17" s="55"/>
      <c r="B17" s="50" t="s">
        <v>76</v>
      </c>
      <c r="C17" s="51"/>
      <c r="D17" s="56"/>
      <c r="E17" s="51"/>
      <c r="F17" s="52"/>
      <c r="G17" s="52"/>
      <c r="H17" s="52"/>
      <c r="I17" s="52"/>
      <c r="J17" s="53"/>
      <c r="K17" s="51">
        <v>76400000</v>
      </c>
    </row>
    <row r="18" spans="1:11" s="43" customFormat="1" ht="18.75" customHeight="1" x14ac:dyDescent="0.2">
      <c r="A18" s="41">
        <v>2</v>
      </c>
      <c r="B18" s="49" t="s">
        <v>77</v>
      </c>
      <c r="C18" s="46">
        <f t="shared" ref="C18:G18" si="4">C19+C20</f>
        <v>20000000</v>
      </c>
      <c r="D18" s="46">
        <f t="shared" si="4"/>
        <v>250000000</v>
      </c>
      <c r="E18" s="46">
        <f t="shared" si="3"/>
        <v>270000000</v>
      </c>
      <c r="F18" s="46">
        <f t="shared" si="4"/>
        <v>256242000</v>
      </c>
      <c r="G18" s="46">
        <f t="shared" si="4"/>
        <v>10540000</v>
      </c>
      <c r="H18" s="47">
        <f t="shared" si="0"/>
        <v>266782000</v>
      </c>
      <c r="I18" s="47">
        <f t="shared" si="2"/>
        <v>3218000</v>
      </c>
      <c r="J18" s="48">
        <f t="shared" si="1"/>
        <v>0.98808148148148145</v>
      </c>
      <c r="K18" s="46">
        <f>30000000</f>
        <v>30000000</v>
      </c>
    </row>
    <row r="19" spans="1:11" s="43" customFormat="1" ht="18.75" customHeight="1" x14ac:dyDescent="0.2">
      <c r="A19" s="55" t="s">
        <v>25</v>
      </c>
      <c r="B19" s="50" t="s">
        <v>78</v>
      </c>
      <c r="C19" s="51">
        <v>12000000</v>
      </c>
      <c r="D19" s="56">
        <v>250000000</v>
      </c>
      <c r="E19" s="51">
        <f t="shared" si="3"/>
        <v>262000000</v>
      </c>
      <c r="F19" s="52">
        <f>2245000+500000+680000+900000+2450000+241467000</f>
        <v>248242000</v>
      </c>
      <c r="G19" s="52">
        <f>5540000+5000000</f>
        <v>10540000</v>
      </c>
      <c r="H19" s="52">
        <f t="shared" si="0"/>
        <v>258782000</v>
      </c>
      <c r="I19" s="52">
        <f t="shared" si="2"/>
        <v>3218000</v>
      </c>
      <c r="J19" s="53">
        <f t="shared" si="1"/>
        <v>0.98771755725190835</v>
      </c>
      <c r="K19" s="51"/>
    </row>
    <row r="20" spans="1:11" s="43" customFormat="1" ht="18.75" customHeight="1" x14ac:dyDescent="0.2">
      <c r="A20" s="55" t="s">
        <v>27</v>
      </c>
      <c r="B20" s="50" t="s">
        <v>79</v>
      </c>
      <c r="C20" s="51">
        <v>8000000</v>
      </c>
      <c r="D20" s="56"/>
      <c r="E20" s="51">
        <f t="shared" si="3"/>
        <v>8000000</v>
      </c>
      <c r="F20" s="52">
        <v>8000000</v>
      </c>
      <c r="G20" s="52"/>
      <c r="H20" s="52">
        <f t="shared" si="0"/>
        <v>8000000</v>
      </c>
      <c r="I20" s="52">
        <f t="shared" si="2"/>
        <v>0</v>
      </c>
      <c r="J20" s="53">
        <f t="shared" si="1"/>
        <v>1</v>
      </c>
      <c r="K20" s="51"/>
    </row>
    <row r="21" spans="1:11" s="43" customFormat="1" ht="18.75" customHeight="1" x14ac:dyDescent="0.2">
      <c r="A21" s="41">
        <v>3</v>
      </c>
      <c r="B21" s="49" t="s">
        <v>80</v>
      </c>
      <c r="C21" s="46">
        <f t="shared" ref="C21:G21" si="5">SUM(C22:C26)</f>
        <v>70500000</v>
      </c>
      <c r="D21" s="46">
        <f t="shared" si="5"/>
        <v>50000000</v>
      </c>
      <c r="E21" s="46">
        <f t="shared" si="3"/>
        <v>120500000</v>
      </c>
      <c r="F21" s="46">
        <f t="shared" si="5"/>
        <v>73070000</v>
      </c>
      <c r="G21" s="46">
        <f t="shared" si="5"/>
        <v>33381000</v>
      </c>
      <c r="H21" s="47">
        <f t="shared" si="0"/>
        <v>106451000</v>
      </c>
      <c r="I21" s="47">
        <f t="shared" si="2"/>
        <v>14049000</v>
      </c>
      <c r="J21" s="48">
        <f t="shared" si="1"/>
        <v>0.8834107883817427</v>
      </c>
      <c r="K21" s="46">
        <f>K22+K23+K24+K25+K26</f>
        <v>85000000</v>
      </c>
    </row>
    <row r="22" spans="1:11" s="37" customFormat="1" ht="18.75" customHeight="1" x14ac:dyDescent="0.2">
      <c r="A22" s="55" t="s">
        <v>81</v>
      </c>
      <c r="B22" s="50" t="s">
        <v>82</v>
      </c>
      <c r="C22" s="51">
        <v>10000000</v>
      </c>
      <c r="D22" s="56">
        <v>50000000</v>
      </c>
      <c r="E22" s="51">
        <f t="shared" si="3"/>
        <v>60000000</v>
      </c>
      <c r="F22" s="52">
        <v>50000000</v>
      </c>
      <c r="G22" s="52"/>
      <c r="H22" s="52">
        <f t="shared" si="0"/>
        <v>50000000</v>
      </c>
      <c r="I22" s="52">
        <f t="shared" si="2"/>
        <v>10000000</v>
      </c>
      <c r="J22" s="53">
        <f t="shared" si="1"/>
        <v>0.83333333333333337</v>
      </c>
      <c r="K22" s="58">
        <f>15000000-2000000</f>
        <v>13000000</v>
      </c>
    </row>
    <row r="23" spans="1:11" s="37" customFormat="1" ht="18.75" customHeight="1" x14ac:dyDescent="0.2">
      <c r="A23" s="55" t="s">
        <v>83</v>
      </c>
      <c r="B23" s="59" t="s">
        <v>84</v>
      </c>
      <c r="C23" s="51">
        <v>10000000</v>
      </c>
      <c r="D23" s="56"/>
      <c r="E23" s="51">
        <f t="shared" si="3"/>
        <v>10000000</v>
      </c>
      <c r="F23" s="52">
        <v>6300000</v>
      </c>
      <c r="G23" s="52"/>
      <c r="H23" s="52">
        <f t="shared" si="0"/>
        <v>6300000</v>
      </c>
      <c r="I23" s="52">
        <f t="shared" si="2"/>
        <v>3700000</v>
      </c>
      <c r="J23" s="53">
        <f t="shared" si="1"/>
        <v>0.63</v>
      </c>
      <c r="K23" s="58">
        <f>20000000-2000000</f>
        <v>18000000</v>
      </c>
    </row>
    <row r="24" spans="1:11" s="37" customFormat="1" ht="18.75" customHeight="1" x14ac:dyDescent="0.2">
      <c r="A24" s="55" t="s">
        <v>85</v>
      </c>
      <c r="B24" s="50" t="s">
        <v>86</v>
      </c>
      <c r="C24" s="51">
        <v>25000000</v>
      </c>
      <c r="D24" s="56"/>
      <c r="E24" s="51">
        <f t="shared" si="3"/>
        <v>25000000</v>
      </c>
      <c r="F24" s="52"/>
      <c r="G24" s="52">
        <v>25000000</v>
      </c>
      <c r="H24" s="52">
        <f t="shared" si="0"/>
        <v>25000000</v>
      </c>
      <c r="I24" s="52">
        <f t="shared" si="2"/>
        <v>0</v>
      </c>
      <c r="J24" s="53">
        <f t="shared" si="1"/>
        <v>1</v>
      </c>
      <c r="K24" s="58">
        <v>25000000</v>
      </c>
    </row>
    <row r="25" spans="1:11" s="37" customFormat="1" ht="18.75" customHeight="1" x14ac:dyDescent="0.2">
      <c r="A25" s="55" t="s">
        <v>87</v>
      </c>
      <c r="B25" s="60" t="s">
        <v>88</v>
      </c>
      <c r="C25" s="51">
        <v>15000000</v>
      </c>
      <c r="D25" s="56"/>
      <c r="E25" s="51">
        <f t="shared" si="3"/>
        <v>15000000</v>
      </c>
      <c r="F25" s="52">
        <v>15000000</v>
      </c>
      <c r="G25" s="52"/>
      <c r="H25" s="52">
        <f t="shared" si="0"/>
        <v>15000000</v>
      </c>
      <c r="I25" s="52">
        <f t="shared" si="2"/>
        <v>0</v>
      </c>
      <c r="J25" s="53">
        <f t="shared" si="1"/>
        <v>1</v>
      </c>
      <c r="K25" s="58">
        <f>16000000-2000000</f>
        <v>14000000</v>
      </c>
    </row>
    <row r="26" spans="1:11" s="37" customFormat="1" ht="18.75" customHeight="1" x14ac:dyDescent="0.2">
      <c r="A26" s="55" t="s">
        <v>89</v>
      </c>
      <c r="B26" s="50" t="s">
        <v>90</v>
      </c>
      <c r="C26" s="51">
        <v>10500000</v>
      </c>
      <c r="D26" s="56"/>
      <c r="E26" s="51">
        <f t="shared" si="3"/>
        <v>10500000</v>
      </c>
      <c r="F26" s="52">
        <v>1770000</v>
      </c>
      <c r="G26" s="52">
        <v>8381000</v>
      </c>
      <c r="H26" s="52">
        <f t="shared" si="0"/>
        <v>10151000</v>
      </c>
      <c r="I26" s="52">
        <f t="shared" si="2"/>
        <v>349000</v>
      </c>
      <c r="J26" s="53">
        <f t="shared" si="1"/>
        <v>0.96676190476190471</v>
      </c>
      <c r="K26" s="58">
        <v>15000000</v>
      </c>
    </row>
    <row r="27" spans="1:11" s="43" customFormat="1" ht="18.75" customHeight="1" x14ac:dyDescent="0.2">
      <c r="A27" s="41">
        <v>4</v>
      </c>
      <c r="B27" s="49" t="s">
        <v>91</v>
      </c>
      <c r="C27" s="46">
        <v>23000000</v>
      </c>
      <c r="D27" s="56"/>
      <c r="E27" s="46">
        <f t="shared" si="3"/>
        <v>23000000</v>
      </c>
      <c r="F27" s="47">
        <v>4810000</v>
      </c>
      <c r="G27" s="47">
        <v>7200000</v>
      </c>
      <c r="H27" s="47">
        <f t="shared" si="0"/>
        <v>12010000</v>
      </c>
      <c r="I27" s="47">
        <f t="shared" si="2"/>
        <v>10990000</v>
      </c>
      <c r="J27" s="48">
        <f t="shared" si="1"/>
        <v>0.52217391304347827</v>
      </c>
      <c r="K27" s="46">
        <v>20000000</v>
      </c>
    </row>
    <row r="28" spans="1:11" s="43" customFormat="1" ht="18.75" customHeight="1" x14ac:dyDescent="0.2">
      <c r="A28" s="41">
        <v>5</v>
      </c>
      <c r="B28" s="49" t="s">
        <v>92</v>
      </c>
      <c r="C28" s="46">
        <f>SUM(C29:C33)</f>
        <v>120000000</v>
      </c>
      <c r="D28" s="46">
        <f>SUM(D29:D33)</f>
        <v>15000000</v>
      </c>
      <c r="E28" s="46">
        <f t="shared" si="3"/>
        <v>135000000</v>
      </c>
      <c r="F28" s="46">
        <f>SUM(F29:F33)</f>
        <v>73035000</v>
      </c>
      <c r="G28" s="46">
        <f>SUM(G29:G33)</f>
        <v>8700000</v>
      </c>
      <c r="H28" s="47">
        <f t="shared" si="0"/>
        <v>81735000</v>
      </c>
      <c r="I28" s="47">
        <f t="shared" si="2"/>
        <v>53265000</v>
      </c>
      <c r="J28" s="48">
        <f t="shared" si="1"/>
        <v>0.60544444444444445</v>
      </c>
      <c r="K28" s="46">
        <f>SUM(K29:K34)</f>
        <v>83000000</v>
      </c>
    </row>
    <row r="29" spans="1:11" s="37" customFormat="1" ht="18.75" customHeight="1" x14ac:dyDescent="0.2">
      <c r="A29" s="55" t="s">
        <v>93</v>
      </c>
      <c r="B29" s="60" t="s">
        <v>94</v>
      </c>
      <c r="C29" s="51">
        <v>30000000</v>
      </c>
      <c r="D29" s="56"/>
      <c r="E29" s="51">
        <f t="shared" si="3"/>
        <v>30000000</v>
      </c>
      <c r="F29" s="52"/>
      <c r="G29" s="52"/>
      <c r="H29" s="52">
        <f t="shared" si="0"/>
        <v>0</v>
      </c>
      <c r="I29" s="52">
        <f t="shared" si="2"/>
        <v>30000000</v>
      </c>
      <c r="J29" s="53">
        <f t="shared" si="1"/>
        <v>0</v>
      </c>
      <c r="K29" s="51">
        <f>30000000-7000000</f>
        <v>23000000</v>
      </c>
    </row>
    <row r="30" spans="1:11" s="37" customFormat="1" ht="18.75" customHeight="1" x14ac:dyDescent="0.2">
      <c r="A30" s="55" t="s">
        <v>95</v>
      </c>
      <c r="B30" s="50" t="s">
        <v>96</v>
      </c>
      <c r="C30" s="51">
        <v>0</v>
      </c>
      <c r="D30" s="56"/>
      <c r="E30" s="51">
        <f t="shared" si="3"/>
        <v>0</v>
      </c>
      <c r="F30" s="52"/>
      <c r="G30" s="52"/>
      <c r="H30" s="52">
        <f t="shared" si="0"/>
        <v>0</v>
      </c>
      <c r="I30" s="52">
        <f t="shared" si="2"/>
        <v>0</v>
      </c>
      <c r="J30" s="53"/>
      <c r="K30" s="51">
        <f>10000000-2000000</f>
        <v>8000000</v>
      </c>
    </row>
    <row r="31" spans="1:11" s="37" customFormat="1" ht="18.75" customHeight="1" x14ac:dyDescent="0.2">
      <c r="A31" s="55" t="s">
        <v>97</v>
      </c>
      <c r="B31" s="60" t="s">
        <v>98</v>
      </c>
      <c r="C31" s="51">
        <v>65000000</v>
      </c>
      <c r="D31" s="56">
        <v>15000000</v>
      </c>
      <c r="E31" s="51">
        <f t="shared" si="3"/>
        <v>80000000</v>
      </c>
      <c r="F31" s="52">
        <v>71735000</v>
      </c>
      <c r="G31" s="52"/>
      <c r="H31" s="52">
        <f t="shared" si="0"/>
        <v>71735000</v>
      </c>
      <c r="I31" s="52">
        <f t="shared" si="2"/>
        <v>8265000</v>
      </c>
      <c r="J31" s="53">
        <f t="shared" si="1"/>
        <v>0.89668749999999997</v>
      </c>
      <c r="K31" s="51">
        <f>40000000-8000000</f>
        <v>32000000</v>
      </c>
    </row>
    <row r="32" spans="1:11" s="37" customFormat="1" ht="18.75" customHeight="1" x14ac:dyDescent="0.2">
      <c r="A32" s="55" t="s">
        <v>99</v>
      </c>
      <c r="B32" s="60" t="s">
        <v>100</v>
      </c>
      <c r="C32" s="51">
        <v>15000000</v>
      </c>
      <c r="D32" s="56"/>
      <c r="E32" s="51">
        <f t="shared" si="3"/>
        <v>15000000</v>
      </c>
      <c r="F32" s="52"/>
      <c r="G32" s="52"/>
      <c r="H32" s="52">
        <f t="shared" si="0"/>
        <v>0</v>
      </c>
      <c r="I32" s="52">
        <f t="shared" si="2"/>
        <v>15000000</v>
      </c>
      <c r="J32" s="53">
        <f t="shared" si="1"/>
        <v>0</v>
      </c>
      <c r="K32" s="51">
        <v>10000000</v>
      </c>
    </row>
    <row r="33" spans="1:11" s="37" customFormat="1" ht="18.75" customHeight="1" x14ac:dyDescent="0.2">
      <c r="A33" s="55" t="s">
        <v>101</v>
      </c>
      <c r="B33" s="50" t="s">
        <v>102</v>
      </c>
      <c r="C33" s="51">
        <v>10000000</v>
      </c>
      <c r="D33" s="56"/>
      <c r="E33" s="51">
        <f t="shared" si="3"/>
        <v>10000000</v>
      </c>
      <c r="F33" s="52">
        <v>1300000</v>
      </c>
      <c r="G33" s="52">
        <v>8700000</v>
      </c>
      <c r="H33" s="52">
        <f t="shared" si="0"/>
        <v>10000000</v>
      </c>
      <c r="I33" s="52">
        <f t="shared" si="2"/>
        <v>0</v>
      </c>
      <c r="J33" s="53">
        <f t="shared" si="1"/>
        <v>1</v>
      </c>
      <c r="K33" s="51">
        <v>10000000</v>
      </c>
    </row>
    <row r="34" spans="1:11" s="37" customFormat="1" ht="18.75" customHeight="1" x14ac:dyDescent="0.2">
      <c r="A34" s="55" t="s">
        <v>103</v>
      </c>
      <c r="B34" s="50" t="s">
        <v>104</v>
      </c>
      <c r="C34" s="51"/>
      <c r="D34" s="56"/>
      <c r="E34" s="51">
        <f t="shared" si="3"/>
        <v>0</v>
      </c>
      <c r="F34" s="52"/>
      <c r="G34" s="52"/>
      <c r="H34" s="52">
        <f t="shared" si="0"/>
        <v>0</v>
      </c>
      <c r="I34" s="52">
        <f t="shared" si="2"/>
        <v>0</v>
      </c>
      <c r="J34" s="53"/>
      <c r="K34" s="51"/>
    </row>
    <row r="35" spans="1:11" s="43" customFormat="1" ht="18.75" customHeight="1" x14ac:dyDescent="0.2">
      <c r="A35" s="41">
        <v>6</v>
      </c>
      <c r="B35" s="49" t="s">
        <v>105</v>
      </c>
      <c r="C35" s="46">
        <f t="shared" ref="C35:G35" si="6">C36+C37+C38</f>
        <v>22000000</v>
      </c>
      <c r="D35" s="46">
        <f t="shared" si="6"/>
        <v>35700000</v>
      </c>
      <c r="E35" s="46">
        <f t="shared" si="3"/>
        <v>57700000</v>
      </c>
      <c r="F35" s="46">
        <f t="shared" si="6"/>
        <v>41100000</v>
      </c>
      <c r="G35" s="46">
        <f t="shared" si="6"/>
        <v>0</v>
      </c>
      <c r="H35" s="47">
        <f t="shared" si="0"/>
        <v>41100000</v>
      </c>
      <c r="I35" s="47">
        <f t="shared" si="2"/>
        <v>16600000</v>
      </c>
      <c r="J35" s="48">
        <f t="shared" si="1"/>
        <v>0.71230502599653378</v>
      </c>
      <c r="K35" s="46">
        <f>K37+K38</f>
        <v>21000000</v>
      </c>
    </row>
    <row r="36" spans="1:11" s="37" customFormat="1" ht="18.75" customHeight="1" x14ac:dyDescent="0.2">
      <c r="A36" s="55" t="s">
        <v>106</v>
      </c>
      <c r="B36" s="50" t="s">
        <v>107</v>
      </c>
      <c r="C36" s="51"/>
      <c r="D36" s="56"/>
      <c r="E36" s="51">
        <f t="shared" si="3"/>
        <v>0</v>
      </c>
      <c r="F36" s="52"/>
      <c r="G36" s="52"/>
      <c r="H36" s="52">
        <f t="shared" si="0"/>
        <v>0</v>
      </c>
      <c r="I36" s="52">
        <f t="shared" si="2"/>
        <v>0</v>
      </c>
      <c r="J36" s="53"/>
      <c r="K36" s="51"/>
    </row>
    <row r="37" spans="1:11" s="37" customFormat="1" ht="18.75" customHeight="1" x14ac:dyDescent="0.2">
      <c r="A37" s="55" t="s">
        <v>108</v>
      </c>
      <c r="B37" s="60" t="s">
        <v>109</v>
      </c>
      <c r="C37" s="51">
        <v>10000000</v>
      </c>
      <c r="D37" s="56">
        <v>6900000</v>
      </c>
      <c r="E37" s="51">
        <f t="shared" si="3"/>
        <v>16900000</v>
      </c>
      <c r="F37" s="52">
        <v>6900000</v>
      </c>
      <c r="G37" s="52"/>
      <c r="H37" s="52">
        <f t="shared" si="0"/>
        <v>6900000</v>
      </c>
      <c r="I37" s="52">
        <f t="shared" si="2"/>
        <v>10000000</v>
      </c>
      <c r="J37" s="53">
        <f t="shared" si="1"/>
        <v>0.40828402366863903</v>
      </c>
      <c r="K37" s="51">
        <v>10000000</v>
      </c>
    </row>
    <row r="38" spans="1:11" s="37" customFormat="1" ht="18.75" customHeight="1" x14ac:dyDescent="0.2">
      <c r="A38" s="55" t="s">
        <v>110</v>
      </c>
      <c r="B38" s="50" t="s">
        <v>111</v>
      </c>
      <c r="C38" s="51">
        <v>12000000</v>
      </c>
      <c r="D38" s="51">
        <f>25200000+3600000</f>
        <v>28800000</v>
      </c>
      <c r="E38" s="51">
        <f t="shared" si="3"/>
        <v>40800000</v>
      </c>
      <c r="F38" s="52">
        <f>28800000+5400000</f>
        <v>34200000</v>
      </c>
      <c r="G38" s="52"/>
      <c r="H38" s="52">
        <f t="shared" si="0"/>
        <v>34200000</v>
      </c>
      <c r="I38" s="52">
        <f t="shared" si="2"/>
        <v>6600000</v>
      </c>
      <c r="J38" s="53">
        <f t="shared" si="1"/>
        <v>0.83823529411764708</v>
      </c>
      <c r="K38" s="51">
        <v>11000000</v>
      </c>
    </row>
    <row r="39" spans="1:11" s="43" customFormat="1" ht="18.75" customHeight="1" x14ac:dyDescent="0.2">
      <c r="A39" s="41">
        <v>7</v>
      </c>
      <c r="B39" s="49" t="s">
        <v>112</v>
      </c>
      <c r="C39" s="46">
        <f>C40+C47+C65+C67+C69+C71+C73+C76+C79+C80+C81</f>
        <v>3535900000</v>
      </c>
      <c r="D39" s="46" t="e">
        <f>D45+D63+D66+D68+D70+D72+D74+D77+D80+D81</f>
        <v>#REF!</v>
      </c>
      <c r="E39" s="46" t="e">
        <f t="shared" si="3"/>
        <v>#REF!</v>
      </c>
      <c r="F39" s="46" t="e">
        <f>F45+F63+F66+F68+F70+F72+F74+F77+F80+F81</f>
        <v>#REF!</v>
      </c>
      <c r="G39" s="46" t="e">
        <f>G45+G63+G66+G68+G70+G72+G74+G77+G80+G81</f>
        <v>#REF!</v>
      </c>
      <c r="H39" s="47" t="e">
        <f t="shared" si="0"/>
        <v>#REF!</v>
      </c>
      <c r="I39" s="47" t="e">
        <f t="shared" si="2"/>
        <v>#REF!</v>
      </c>
      <c r="J39" s="48" t="e">
        <f t="shared" si="1"/>
        <v>#REF!</v>
      </c>
      <c r="K39" s="46">
        <f>K45+K63+K66+K68+K70+K72+K74+K77+K80+K81</f>
        <v>3377400000</v>
      </c>
    </row>
    <row r="40" spans="1:11" s="43" customFormat="1" ht="18.75" customHeight="1" x14ac:dyDescent="0.2">
      <c r="A40" s="41"/>
      <c r="B40" s="49" t="s">
        <v>113</v>
      </c>
      <c r="C40" s="46">
        <f>SUM(C41:C42)</f>
        <v>2772600000</v>
      </c>
      <c r="D40" s="56"/>
      <c r="E40" s="46">
        <f t="shared" si="3"/>
        <v>2772600000</v>
      </c>
      <c r="F40" s="47" t="e">
        <f>F46+F64+#REF!+#REF!+#REF!+#REF!+#REF!+F78</f>
        <v>#REF!</v>
      </c>
      <c r="G40" s="47" t="e">
        <f>G46+G64+#REF!+#REF!+#REF!+#REF!+#REF!+G78</f>
        <v>#REF!</v>
      </c>
      <c r="H40" s="47" t="e">
        <f t="shared" si="0"/>
        <v>#REF!</v>
      </c>
      <c r="I40" s="47" t="e">
        <f t="shared" si="2"/>
        <v>#REF!</v>
      </c>
      <c r="J40" s="48" t="e">
        <f t="shared" si="1"/>
        <v>#REF!</v>
      </c>
      <c r="K40" s="61">
        <f>K41+K42+K43+K44</f>
        <v>2537100000</v>
      </c>
    </row>
    <row r="41" spans="1:11" s="37" customFormat="1" ht="18.75" customHeight="1" x14ac:dyDescent="0.2">
      <c r="A41" s="55"/>
      <c r="B41" s="50" t="s">
        <v>114</v>
      </c>
      <c r="C41" s="51">
        <v>1703161000</v>
      </c>
      <c r="D41" s="56"/>
      <c r="E41" s="51">
        <f t="shared" si="3"/>
        <v>1703161000</v>
      </c>
      <c r="F41" s="52"/>
      <c r="G41" s="52"/>
      <c r="H41" s="52">
        <f t="shared" si="0"/>
        <v>0</v>
      </c>
      <c r="I41" s="46">
        <f t="shared" si="2"/>
        <v>1703161000</v>
      </c>
      <c r="J41" s="53">
        <f t="shared" si="1"/>
        <v>0</v>
      </c>
      <c r="K41" s="62">
        <v>1825000000</v>
      </c>
    </row>
    <row r="42" spans="1:11" s="37" customFormat="1" ht="18.75" customHeight="1" x14ac:dyDescent="0.2">
      <c r="A42" s="55"/>
      <c r="B42" s="50" t="s">
        <v>115</v>
      </c>
      <c r="C42" s="51">
        <v>1069439000</v>
      </c>
      <c r="D42" s="56"/>
      <c r="E42" s="51">
        <f t="shared" si="3"/>
        <v>1069439000</v>
      </c>
      <c r="F42" s="52"/>
      <c r="G42" s="52"/>
      <c r="H42" s="52">
        <f t="shared" si="0"/>
        <v>0</v>
      </c>
      <c r="I42" s="46">
        <f t="shared" si="2"/>
        <v>1069439000</v>
      </c>
      <c r="J42" s="53">
        <f t="shared" si="1"/>
        <v>0</v>
      </c>
      <c r="K42" s="62">
        <v>345100000</v>
      </c>
    </row>
    <row r="43" spans="1:11" s="37" customFormat="1" ht="18.75" customHeight="1" x14ac:dyDescent="0.2">
      <c r="A43" s="55"/>
      <c r="B43" s="50" t="s">
        <v>116</v>
      </c>
      <c r="C43" s="51"/>
      <c r="D43" s="56"/>
      <c r="E43" s="51"/>
      <c r="F43" s="52"/>
      <c r="G43" s="52"/>
      <c r="H43" s="52"/>
      <c r="I43" s="46"/>
      <c r="J43" s="53"/>
      <c r="K43" s="62">
        <v>295000000</v>
      </c>
    </row>
    <row r="44" spans="1:11" s="37" customFormat="1" ht="18.75" customHeight="1" x14ac:dyDescent="0.2">
      <c r="A44" s="55"/>
      <c r="B44" s="50" t="s">
        <v>117</v>
      </c>
      <c r="C44" s="51"/>
      <c r="D44" s="56"/>
      <c r="E44" s="51"/>
      <c r="F44" s="52"/>
      <c r="G44" s="52"/>
      <c r="H44" s="52"/>
      <c r="I44" s="46"/>
      <c r="J44" s="53"/>
      <c r="K44" s="62">
        <v>72000000</v>
      </c>
    </row>
    <row r="45" spans="1:11" s="43" customFormat="1" ht="18.75" customHeight="1" x14ac:dyDescent="0.2">
      <c r="A45" s="41" t="s">
        <v>118</v>
      </c>
      <c r="B45" s="49" t="s">
        <v>119</v>
      </c>
      <c r="C45" s="46">
        <f t="shared" ref="C45:G45" si="7">C46+C47</f>
        <v>2150364372</v>
      </c>
      <c r="D45" s="47">
        <f t="shared" si="7"/>
        <v>148648000</v>
      </c>
      <c r="E45" s="46">
        <f t="shared" si="3"/>
        <v>2299012372</v>
      </c>
      <c r="F45" s="47">
        <f t="shared" si="7"/>
        <v>2064239354</v>
      </c>
      <c r="G45" s="47">
        <f t="shared" si="7"/>
        <v>233125919</v>
      </c>
      <c r="H45" s="47">
        <f t="shared" si="0"/>
        <v>2297365273</v>
      </c>
      <c r="I45" s="47">
        <f t="shared" si="2"/>
        <v>1647099</v>
      </c>
      <c r="J45" s="48">
        <f t="shared" si="1"/>
        <v>0.99928356235918503</v>
      </c>
      <c r="K45" s="46">
        <f>K46+K47</f>
        <v>2971000000</v>
      </c>
    </row>
    <row r="46" spans="1:11" s="37" customFormat="1" ht="18.75" customHeight="1" x14ac:dyDescent="0.2">
      <c r="A46" s="63" t="s">
        <v>120</v>
      </c>
      <c r="B46" s="64" t="s">
        <v>121</v>
      </c>
      <c r="C46" s="61">
        <v>1644564372</v>
      </c>
      <c r="D46" s="56">
        <f>23738000+6910000+3000000</f>
        <v>33648000</v>
      </c>
      <c r="E46" s="46">
        <f t="shared" si="3"/>
        <v>1678212372</v>
      </c>
      <c r="F46" s="65">
        <f>489112359+5176979+52524000+1972140+3989093+74219609+56497900+2400000+205465400+41662332+10431000+174277982+42001400+4737000+10500350+9666816+107320550+78950000</f>
        <v>1370904910</v>
      </c>
      <c r="G46" s="65">
        <f>44208987+298000+4917000+11126575+149000+17246945+3131682+10676000+17708650+7450000+3963400+447000+990850+911880+10206500</f>
        <v>133432469</v>
      </c>
      <c r="H46" s="47">
        <f t="shared" si="0"/>
        <v>1504337379</v>
      </c>
      <c r="I46" s="47">
        <f t="shared" si="2"/>
        <v>173874993</v>
      </c>
      <c r="J46" s="48">
        <f t="shared" si="1"/>
        <v>0.89639273556731947</v>
      </c>
      <c r="K46" s="61">
        <f>K40</f>
        <v>2537100000</v>
      </c>
    </row>
    <row r="47" spans="1:11" s="37" customFormat="1" ht="18.75" customHeight="1" x14ac:dyDescent="0.2">
      <c r="A47" s="63" t="s">
        <v>120</v>
      </c>
      <c r="B47" s="64" t="s">
        <v>122</v>
      </c>
      <c r="C47" s="61">
        <f>SUM(C48:C62)</f>
        <v>505800000</v>
      </c>
      <c r="D47" s="61">
        <f>SUM(D48:D62)</f>
        <v>115000000</v>
      </c>
      <c r="E47" s="46">
        <f t="shared" si="3"/>
        <v>620800000</v>
      </c>
      <c r="F47" s="61">
        <f>SUM(F48:F62)</f>
        <v>693334444</v>
      </c>
      <c r="G47" s="61">
        <f>SUM(G48:G62)</f>
        <v>99693450</v>
      </c>
      <c r="H47" s="47">
        <f t="shared" si="0"/>
        <v>793027894</v>
      </c>
      <c r="I47" s="46">
        <f t="shared" si="2"/>
        <v>-172227894</v>
      </c>
      <c r="J47" s="48">
        <f t="shared" si="1"/>
        <v>1.2774289529639176</v>
      </c>
      <c r="K47" s="61">
        <f>SUM(K48:K62)</f>
        <v>433900000</v>
      </c>
    </row>
    <row r="48" spans="1:11" s="37" customFormat="1" ht="18.75" customHeight="1" x14ac:dyDescent="0.2">
      <c r="A48" s="66" t="s">
        <v>34</v>
      </c>
      <c r="B48" s="50" t="s">
        <v>123</v>
      </c>
      <c r="C48" s="58">
        <v>20000000</v>
      </c>
      <c r="D48" s="56"/>
      <c r="E48" s="51">
        <f t="shared" si="3"/>
        <v>20000000</v>
      </c>
      <c r="F48" s="52">
        <f>29659000+2640000</f>
        <v>32299000</v>
      </c>
      <c r="G48" s="52">
        <v>1865000</v>
      </c>
      <c r="H48" s="52">
        <f t="shared" si="0"/>
        <v>34164000</v>
      </c>
      <c r="I48" s="46">
        <f t="shared" si="2"/>
        <v>-14164000</v>
      </c>
      <c r="J48" s="53">
        <f t="shared" si="1"/>
        <v>1.7081999999999999</v>
      </c>
      <c r="K48" s="58">
        <v>20000000</v>
      </c>
    </row>
    <row r="49" spans="1:11" s="37" customFormat="1" ht="18.75" customHeight="1" x14ac:dyDescent="0.2">
      <c r="A49" s="66" t="s">
        <v>34</v>
      </c>
      <c r="B49" s="50" t="s">
        <v>124</v>
      </c>
      <c r="C49" s="58">
        <v>20000000</v>
      </c>
      <c r="D49" s="56"/>
      <c r="E49" s="51">
        <f t="shared" si="3"/>
        <v>20000000</v>
      </c>
      <c r="F49" s="52">
        <f>430000+600000+24600000+383000</f>
        <v>26013000</v>
      </c>
      <c r="G49" s="52">
        <f>168000+300000+6600000+495000</f>
        <v>7563000</v>
      </c>
      <c r="H49" s="52">
        <f t="shared" si="0"/>
        <v>33576000</v>
      </c>
      <c r="I49" s="52">
        <f t="shared" si="2"/>
        <v>-13576000</v>
      </c>
      <c r="J49" s="53">
        <f t="shared" si="1"/>
        <v>1.6788000000000001</v>
      </c>
      <c r="K49" s="58">
        <v>20000000</v>
      </c>
    </row>
    <row r="50" spans="1:11" s="37" customFormat="1" ht="18.75" customHeight="1" x14ac:dyDescent="0.2">
      <c r="A50" s="66" t="s">
        <v>34</v>
      </c>
      <c r="B50" s="50" t="s">
        <v>125</v>
      </c>
      <c r="C50" s="58">
        <v>20000000</v>
      </c>
      <c r="D50" s="56"/>
      <c r="E50" s="51">
        <f t="shared" si="3"/>
        <v>20000000</v>
      </c>
      <c r="F50" s="52">
        <v>31350000</v>
      </c>
      <c r="G50" s="52"/>
      <c r="H50" s="52">
        <f t="shared" si="0"/>
        <v>31350000</v>
      </c>
      <c r="I50" s="52">
        <f t="shared" si="2"/>
        <v>-11350000</v>
      </c>
      <c r="J50" s="53">
        <f t="shared" si="1"/>
        <v>1.5674999999999999</v>
      </c>
      <c r="K50" s="58">
        <v>20000000</v>
      </c>
    </row>
    <row r="51" spans="1:11" s="37" customFormat="1" ht="18.75" customHeight="1" x14ac:dyDescent="0.2">
      <c r="A51" s="66" t="s">
        <v>34</v>
      </c>
      <c r="B51" s="50" t="s">
        <v>126</v>
      </c>
      <c r="C51" s="58">
        <v>30000000</v>
      </c>
      <c r="D51" s="56"/>
      <c r="E51" s="51">
        <f t="shared" si="3"/>
        <v>30000000</v>
      </c>
      <c r="F51" s="52">
        <f>109793000+3806000+6996000</f>
        <v>120595000</v>
      </c>
      <c r="G51" s="52">
        <f>3788000+3000000</f>
        <v>6788000</v>
      </c>
      <c r="H51" s="52">
        <f t="shared" si="0"/>
        <v>127383000</v>
      </c>
      <c r="I51" s="52">
        <f t="shared" si="2"/>
        <v>-97383000</v>
      </c>
      <c r="J51" s="53">
        <f t="shared" si="1"/>
        <v>4.2461000000000002</v>
      </c>
      <c r="K51" s="51">
        <v>40000000</v>
      </c>
    </row>
    <row r="52" spans="1:11" s="37" customFormat="1" ht="18.75" customHeight="1" x14ac:dyDescent="0.2">
      <c r="A52" s="66" t="s">
        <v>34</v>
      </c>
      <c r="B52" s="50" t="s">
        <v>127</v>
      </c>
      <c r="C52" s="58">
        <v>30000000</v>
      </c>
      <c r="D52" s="56"/>
      <c r="E52" s="51">
        <f t="shared" si="3"/>
        <v>30000000</v>
      </c>
      <c r="F52" s="52">
        <f>65203000+7200000</f>
        <v>72403000</v>
      </c>
      <c r="G52" s="52">
        <v>3550000</v>
      </c>
      <c r="H52" s="52">
        <f t="shared" si="0"/>
        <v>75953000</v>
      </c>
      <c r="I52" s="52">
        <f t="shared" si="2"/>
        <v>-45953000</v>
      </c>
      <c r="J52" s="53">
        <f t="shared" si="1"/>
        <v>2.5317666666666665</v>
      </c>
      <c r="K52" s="51">
        <v>30000000</v>
      </c>
    </row>
    <row r="53" spans="1:11" s="37" customFormat="1" ht="18.75" customHeight="1" x14ac:dyDescent="0.2">
      <c r="A53" s="66" t="s">
        <v>34</v>
      </c>
      <c r="B53" s="60" t="s">
        <v>128</v>
      </c>
      <c r="C53" s="58">
        <v>40000000</v>
      </c>
      <c r="D53" s="56"/>
      <c r="E53" s="51">
        <f t="shared" si="3"/>
        <v>40000000</v>
      </c>
      <c r="F53" s="52">
        <f>52477000+34281941</f>
        <v>86758941</v>
      </c>
      <c r="G53" s="52"/>
      <c r="H53" s="52">
        <f t="shared" si="0"/>
        <v>86758941</v>
      </c>
      <c r="I53" s="52">
        <f t="shared" si="2"/>
        <v>-46758941</v>
      </c>
      <c r="J53" s="53">
        <f t="shared" si="1"/>
        <v>2.1689735250000002</v>
      </c>
      <c r="K53" s="51">
        <v>20000000</v>
      </c>
    </row>
    <row r="54" spans="1:11" s="37" customFormat="1" ht="18.75" customHeight="1" x14ac:dyDescent="0.2">
      <c r="A54" s="66" t="s">
        <v>34</v>
      </c>
      <c r="B54" s="50" t="s">
        <v>129</v>
      </c>
      <c r="C54" s="58">
        <f>123800000-5000000</f>
        <v>118800000</v>
      </c>
      <c r="D54" s="56">
        <f>70000000+10000000+40000000-5000000</f>
        <v>115000000</v>
      </c>
      <c r="E54" s="51">
        <f t="shared" si="3"/>
        <v>233800000</v>
      </c>
      <c r="F54" s="52">
        <f>64941000+52957000+150000+600000+700000+4600000</f>
        <v>123948000</v>
      </c>
      <c r="G54" s="52">
        <f>3000000+14580000+5925000+10000000</f>
        <v>33505000</v>
      </c>
      <c r="H54" s="52">
        <f t="shared" si="0"/>
        <v>157453000</v>
      </c>
      <c r="I54" s="52">
        <f t="shared" si="2"/>
        <v>76347000</v>
      </c>
      <c r="J54" s="53">
        <f t="shared" si="1"/>
        <v>0.67345166809238666</v>
      </c>
      <c r="K54" s="46">
        <f>102000000-50000000-15000000+11900000-3000000+25000000-26500000-6500000</f>
        <v>37900000</v>
      </c>
    </row>
    <row r="55" spans="1:11" s="37" customFormat="1" ht="18.75" customHeight="1" x14ac:dyDescent="0.2">
      <c r="A55" s="66" t="s">
        <v>34</v>
      </c>
      <c r="B55" s="50" t="s">
        <v>130</v>
      </c>
      <c r="C55" s="58">
        <v>21000000</v>
      </c>
      <c r="D55" s="56"/>
      <c r="E55" s="51">
        <f t="shared" si="3"/>
        <v>21000000</v>
      </c>
      <c r="F55" s="52">
        <f>6000000</f>
        <v>6000000</v>
      </c>
      <c r="G55" s="52">
        <v>14400000</v>
      </c>
      <c r="H55" s="52">
        <f t="shared" si="0"/>
        <v>20400000</v>
      </c>
      <c r="I55" s="52">
        <f t="shared" si="2"/>
        <v>600000</v>
      </c>
      <c r="J55" s="53">
        <f t="shared" si="1"/>
        <v>0.97142857142857142</v>
      </c>
      <c r="K55" s="51">
        <v>22000000</v>
      </c>
    </row>
    <row r="56" spans="1:11" s="37" customFormat="1" ht="18.75" customHeight="1" x14ac:dyDescent="0.2">
      <c r="A56" s="66" t="s">
        <v>34</v>
      </c>
      <c r="B56" s="50" t="s">
        <v>131</v>
      </c>
      <c r="C56" s="58">
        <v>96000000</v>
      </c>
      <c r="D56" s="56"/>
      <c r="E56" s="51">
        <f t="shared" si="3"/>
        <v>96000000</v>
      </c>
      <c r="F56" s="52">
        <f>63100000+4400000+4400000+4400000+4400000+4400000+13750000+4400000+4400000</f>
        <v>107650000</v>
      </c>
      <c r="G56" s="52">
        <f>5600000+400000*7+1250000</f>
        <v>9650000</v>
      </c>
      <c r="H56" s="52">
        <f t="shared" si="0"/>
        <v>117300000</v>
      </c>
      <c r="I56" s="52">
        <f t="shared" si="2"/>
        <v>-21300000</v>
      </c>
      <c r="J56" s="53">
        <f t="shared" si="1"/>
        <v>1.221875</v>
      </c>
      <c r="K56" s="51">
        <v>122400000</v>
      </c>
    </row>
    <row r="57" spans="1:11" s="37" customFormat="1" ht="18.75" customHeight="1" x14ac:dyDescent="0.2">
      <c r="A57" s="66" t="s">
        <v>34</v>
      </c>
      <c r="B57" s="50" t="s">
        <v>132</v>
      </c>
      <c r="C57" s="58">
        <v>25000000</v>
      </c>
      <c r="D57" s="56"/>
      <c r="E57" s="51">
        <f t="shared" si="3"/>
        <v>25000000</v>
      </c>
      <c r="F57" s="52">
        <v>6700000</v>
      </c>
      <c r="G57" s="52">
        <v>17363000</v>
      </c>
      <c r="H57" s="52">
        <f t="shared" si="0"/>
        <v>24063000</v>
      </c>
      <c r="I57" s="52">
        <f t="shared" si="2"/>
        <v>937000</v>
      </c>
      <c r="J57" s="53">
        <f t="shared" si="1"/>
        <v>0.96252000000000004</v>
      </c>
      <c r="K57" s="51">
        <v>25000000</v>
      </c>
    </row>
    <row r="58" spans="1:11" s="37" customFormat="1" ht="18.75" customHeight="1" x14ac:dyDescent="0.2">
      <c r="A58" s="66" t="s">
        <v>34</v>
      </c>
      <c r="B58" s="50" t="s">
        <v>133</v>
      </c>
      <c r="C58" s="58">
        <v>15000000</v>
      </c>
      <c r="D58" s="56"/>
      <c r="E58" s="51">
        <f t="shared" si="3"/>
        <v>15000000</v>
      </c>
      <c r="F58" s="52">
        <f>8319872+4200000</f>
        <v>12519872</v>
      </c>
      <c r="G58" s="52">
        <v>1000000</v>
      </c>
      <c r="H58" s="52">
        <f t="shared" si="0"/>
        <v>13519872</v>
      </c>
      <c r="I58" s="52">
        <f t="shared" si="2"/>
        <v>1480128</v>
      </c>
      <c r="J58" s="53">
        <f t="shared" si="1"/>
        <v>0.90132480000000004</v>
      </c>
      <c r="K58" s="51">
        <v>15000000</v>
      </c>
    </row>
    <row r="59" spans="1:11" s="37" customFormat="1" ht="18.75" customHeight="1" x14ac:dyDescent="0.2">
      <c r="A59" s="66" t="s">
        <v>34</v>
      </c>
      <c r="B59" s="50" t="s">
        <v>134</v>
      </c>
      <c r="C59" s="58">
        <v>15000000</v>
      </c>
      <c r="D59" s="56"/>
      <c r="E59" s="51">
        <f t="shared" si="3"/>
        <v>15000000</v>
      </c>
      <c r="F59" s="52">
        <v>18552923</v>
      </c>
      <c r="G59" s="52">
        <v>309450</v>
      </c>
      <c r="H59" s="52">
        <f t="shared" si="0"/>
        <v>18862373</v>
      </c>
      <c r="I59" s="52">
        <f t="shared" si="2"/>
        <v>-3862373</v>
      </c>
      <c r="J59" s="53">
        <f t="shared" si="1"/>
        <v>1.2574915333333334</v>
      </c>
      <c r="K59" s="51">
        <v>10000000</v>
      </c>
    </row>
    <row r="60" spans="1:11" s="37" customFormat="1" ht="18.75" customHeight="1" x14ac:dyDescent="0.2">
      <c r="A60" s="66" t="s">
        <v>34</v>
      </c>
      <c r="B60" s="50" t="s">
        <v>135</v>
      </c>
      <c r="C60" s="58">
        <v>15000000</v>
      </c>
      <c r="D60" s="56"/>
      <c r="E60" s="51">
        <f t="shared" si="3"/>
        <v>15000000</v>
      </c>
      <c r="F60" s="52">
        <v>21044708</v>
      </c>
      <c r="G60" s="52">
        <v>1000000</v>
      </c>
      <c r="H60" s="52">
        <f t="shared" si="0"/>
        <v>22044708</v>
      </c>
      <c r="I60" s="52">
        <f t="shared" si="2"/>
        <v>-7044708</v>
      </c>
      <c r="J60" s="53">
        <f t="shared" si="1"/>
        <v>1.4696472</v>
      </c>
      <c r="K60" s="51">
        <v>20000000</v>
      </c>
    </row>
    <row r="61" spans="1:11" s="37" customFormat="1" ht="18.75" customHeight="1" x14ac:dyDescent="0.2">
      <c r="A61" s="66" t="s">
        <v>34</v>
      </c>
      <c r="B61" s="50" t="s">
        <v>136</v>
      </c>
      <c r="C61" s="58">
        <v>10000000</v>
      </c>
      <c r="D61" s="56"/>
      <c r="E61" s="51">
        <f t="shared" si="3"/>
        <v>10000000</v>
      </c>
      <c r="F61" s="52"/>
      <c r="G61" s="52"/>
      <c r="H61" s="52">
        <f t="shared" si="0"/>
        <v>0</v>
      </c>
      <c r="I61" s="52">
        <f t="shared" si="2"/>
        <v>10000000</v>
      </c>
      <c r="J61" s="53">
        <f t="shared" si="1"/>
        <v>0</v>
      </c>
      <c r="K61" s="51">
        <v>1600000</v>
      </c>
    </row>
    <row r="62" spans="1:11" s="37" customFormat="1" x14ac:dyDescent="0.2">
      <c r="A62" s="66" t="s">
        <v>34</v>
      </c>
      <c r="B62" s="50" t="s">
        <v>137</v>
      </c>
      <c r="C62" s="51">
        <v>30000000</v>
      </c>
      <c r="D62" s="56"/>
      <c r="E62" s="51">
        <f t="shared" si="3"/>
        <v>30000000</v>
      </c>
      <c r="F62" s="52">
        <f>10300000+17200000</f>
        <v>27500000</v>
      </c>
      <c r="G62" s="52">
        <v>2700000</v>
      </c>
      <c r="H62" s="52">
        <f t="shared" si="0"/>
        <v>30200000</v>
      </c>
      <c r="I62" s="52">
        <f t="shared" si="2"/>
        <v>-200000</v>
      </c>
      <c r="J62" s="53">
        <f t="shared" si="1"/>
        <v>1.0066666666666666</v>
      </c>
      <c r="K62" s="51">
        <v>30000000</v>
      </c>
    </row>
    <row r="63" spans="1:11" s="43" customFormat="1" ht="18.75" customHeight="1" x14ac:dyDescent="0.2">
      <c r="A63" s="41" t="s">
        <v>138</v>
      </c>
      <c r="B63" s="49" t="s">
        <v>139</v>
      </c>
      <c r="C63" s="47">
        <f>C64+C65</f>
        <v>432016032</v>
      </c>
      <c r="D63" s="47">
        <f>D64+D65</f>
        <v>80022000</v>
      </c>
      <c r="E63" s="46">
        <f t="shared" si="3"/>
        <v>512038032</v>
      </c>
      <c r="F63" s="47">
        <f>F64+F65</f>
        <v>443150678</v>
      </c>
      <c r="G63" s="47">
        <f>G64+G65</f>
        <v>62535450</v>
      </c>
      <c r="H63" s="47">
        <f t="shared" si="0"/>
        <v>505686128</v>
      </c>
      <c r="I63" s="47">
        <f t="shared" si="2"/>
        <v>6351904</v>
      </c>
      <c r="J63" s="48">
        <f t="shared" si="1"/>
        <v>0.98759485896938215</v>
      </c>
      <c r="K63" s="47">
        <f>K64+K65</f>
        <v>107600000</v>
      </c>
    </row>
    <row r="64" spans="1:11" s="37" customFormat="1" ht="18.75" customHeight="1" x14ac:dyDescent="0.2">
      <c r="A64" s="66" t="s">
        <v>34</v>
      </c>
      <c r="B64" s="50" t="s">
        <v>140</v>
      </c>
      <c r="C64" s="51">
        <v>362016032</v>
      </c>
      <c r="D64" s="56">
        <f>18022000+30000000</f>
        <v>48022000</v>
      </c>
      <c r="E64" s="51">
        <f t="shared" si="3"/>
        <v>410038032</v>
      </c>
      <c r="F64" s="52">
        <f>99950705+8684505+9474000+2868960+27158800+9844440+215195268</f>
        <v>373176678</v>
      </c>
      <c r="G64" s="52">
        <f>9431700+819500+894000+2562800+357600+19019850</f>
        <v>33085450</v>
      </c>
      <c r="H64" s="52">
        <f t="shared" si="0"/>
        <v>406262128</v>
      </c>
      <c r="I64" s="52">
        <f t="shared" si="2"/>
        <v>3775904</v>
      </c>
      <c r="J64" s="53">
        <f t="shared" si="1"/>
        <v>0.99079133225378468</v>
      </c>
      <c r="K64" s="51">
        <v>53600000</v>
      </c>
    </row>
    <row r="65" spans="1:11" s="37" customFormat="1" ht="18.75" customHeight="1" x14ac:dyDescent="0.2">
      <c r="A65" s="66" t="s">
        <v>34</v>
      </c>
      <c r="B65" s="50" t="s">
        <v>141</v>
      </c>
      <c r="C65" s="51">
        <v>70000000</v>
      </c>
      <c r="D65" s="56">
        <v>32000000</v>
      </c>
      <c r="E65" s="51">
        <f t="shared" si="3"/>
        <v>102000000</v>
      </c>
      <c r="F65" s="52">
        <f>8297000+3017000+565000+28300000+8790000+3200000+2690000+15115000</f>
        <v>69974000</v>
      </c>
      <c r="G65" s="52">
        <f>1440000+190000+4500000+3125000+195000+20000000</f>
        <v>29450000</v>
      </c>
      <c r="H65" s="52">
        <f t="shared" si="0"/>
        <v>99424000</v>
      </c>
      <c r="I65" s="52">
        <f t="shared" si="2"/>
        <v>2576000</v>
      </c>
      <c r="J65" s="53">
        <f t="shared" si="1"/>
        <v>0.97474509803921572</v>
      </c>
      <c r="K65" s="51">
        <f>60000000-6000000</f>
        <v>54000000</v>
      </c>
    </row>
    <row r="66" spans="1:11" s="43" customFormat="1" ht="18.75" customHeight="1" x14ac:dyDescent="0.2">
      <c r="A66" s="41" t="s">
        <v>142</v>
      </c>
      <c r="B66" s="49" t="s">
        <v>143</v>
      </c>
      <c r="C66" s="47" t="e">
        <f>#REF!+C67</f>
        <v>#REF!</v>
      </c>
      <c r="D66" s="47" t="e">
        <f>#REF!+D67</f>
        <v>#REF!</v>
      </c>
      <c r="E66" s="46" t="e">
        <f t="shared" si="3"/>
        <v>#REF!</v>
      </c>
      <c r="F66" s="47" t="e">
        <f>#REF!+F67</f>
        <v>#REF!</v>
      </c>
      <c r="G66" s="47" t="e">
        <f>#REF!+G67</f>
        <v>#REF!</v>
      </c>
      <c r="H66" s="47" t="e">
        <f t="shared" si="0"/>
        <v>#REF!</v>
      </c>
      <c r="I66" s="47" t="e">
        <f t="shared" si="2"/>
        <v>#REF!</v>
      </c>
      <c r="J66" s="48" t="e">
        <f t="shared" si="1"/>
        <v>#REF!</v>
      </c>
      <c r="K66" s="47">
        <f>K67</f>
        <v>26000000</v>
      </c>
    </row>
    <row r="67" spans="1:11" s="37" customFormat="1" ht="39" customHeight="1" x14ac:dyDescent="0.2">
      <c r="A67" s="41"/>
      <c r="B67" s="60" t="s">
        <v>144</v>
      </c>
      <c r="C67" s="51">
        <v>13500000</v>
      </c>
      <c r="D67" s="56">
        <v>8000000</v>
      </c>
      <c r="E67" s="51">
        <f t="shared" si="3"/>
        <v>21500000</v>
      </c>
      <c r="F67" s="52">
        <f>1195000+7420000+365000+1000000</f>
        <v>9980000</v>
      </c>
      <c r="G67" s="52">
        <f>10000000+1500000</f>
        <v>11500000</v>
      </c>
      <c r="H67" s="52">
        <f t="shared" si="0"/>
        <v>21480000</v>
      </c>
      <c r="I67" s="52">
        <f t="shared" si="2"/>
        <v>20000</v>
      </c>
      <c r="J67" s="53">
        <f t="shared" si="1"/>
        <v>0.99906976744186049</v>
      </c>
      <c r="K67" s="51">
        <f>25000000+2500000-1500000</f>
        <v>26000000</v>
      </c>
    </row>
    <row r="68" spans="1:11" s="43" customFormat="1" ht="18.75" customHeight="1" x14ac:dyDescent="0.2">
      <c r="A68" s="41" t="s">
        <v>145</v>
      </c>
      <c r="B68" s="54" t="s">
        <v>146</v>
      </c>
      <c r="C68" s="47" t="e">
        <f>#REF!+C69</f>
        <v>#REF!</v>
      </c>
      <c r="D68" s="47" t="e">
        <f>#REF!+D69</f>
        <v>#REF!</v>
      </c>
      <c r="E68" s="46" t="e">
        <f t="shared" si="3"/>
        <v>#REF!</v>
      </c>
      <c r="F68" s="47" t="e">
        <f>#REF!+F69</f>
        <v>#REF!</v>
      </c>
      <c r="G68" s="47" t="e">
        <f>#REF!+G69</f>
        <v>#REF!</v>
      </c>
      <c r="H68" s="47" t="e">
        <f t="shared" si="0"/>
        <v>#REF!</v>
      </c>
      <c r="I68" s="47" t="e">
        <f t="shared" si="2"/>
        <v>#REF!</v>
      </c>
      <c r="J68" s="48" t="e">
        <f t="shared" si="1"/>
        <v>#REF!</v>
      </c>
      <c r="K68" s="47">
        <f>K69</f>
        <v>23500000</v>
      </c>
    </row>
    <row r="69" spans="1:11" s="37" customFormat="1" ht="42.75" customHeight="1" x14ac:dyDescent="0.2">
      <c r="A69" s="41"/>
      <c r="B69" s="60" t="s">
        <v>147</v>
      </c>
      <c r="C69" s="51">
        <v>30500000</v>
      </c>
      <c r="D69" s="56">
        <v>6500000</v>
      </c>
      <c r="E69" s="51">
        <f t="shared" si="3"/>
        <v>37000000</v>
      </c>
      <c r="F69" s="52">
        <f>120000+1000000+3760000+900000+12820000+6250000+7025000</f>
        <v>31875000</v>
      </c>
      <c r="G69" s="52">
        <f>150000+3000000+400000+3000000</f>
        <v>6550000</v>
      </c>
      <c r="H69" s="52">
        <f t="shared" si="0"/>
        <v>38425000</v>
      </c>
      <c r="I69" s="52">
        <f t="shared" si="2"/>
        <v>-1425000</v>
      </c>
      <c r="J69" s="53">
        <f t="shared" si="1"/>
        <v>1.0385135135135135</v>
      </c>
      <c r="K69" s="51">
        <f>25000000-1500000</f>
        <v>23500000</v>
      </c>
    </row>
    <row r="70" spans="1:11" s="43" customFormat="1" ht="18.75" customHeight="1" x14ac:dyDescent="0.2">
      <c r="A70" s="41" t="s">
        <v>148</v>
      </c>
      <c r="B70" s="49" t="s">
        <v>149</v>
      </c>
      <c r="C70" s="47" t="e">
        <f>#REF!+C71</f>
        <v>#REF!</v>
      </c>
      <c r="D70" s="47" t="e">
        <f>#REF!+D71</f>
        <v>#REF!</v>
      </c>
      <c r="E70" s="46" t="e">
        <f t="shared" si="3"/>
        <v>#REF!</v>
      </c>
      <c r="F70" s="47" t="e">
        <f>#REF!+F71</f>
        <v>#REF!</v>
      </c>
      <c r="G70" s="47" t="e">
        <f>#REF!+G71</f>
        <v>#REF!</v>
      </c>
      <c r="H70" s="47" t="e">
        <f t="shared" si="0"/>
        <v>#REF!</v>
      </c>
      <c r="I70" s="47" t="e">
        <f t="shared" si="2"/>
        <v>#REF!</v>
      </c>
      <c r="J70" s="48" t="e">
        <f t="shared" si="1"/>
        <v>#REF!</v>
      </c>
      <c r="K70" s="47">
        <f>K71</f>
        <v>23500000</v>
      </c>
    </row>
    <row r="71" spans="1:11" s="37" customFormat="1" ht="38.25" customHeight="1" x14ac:dyDescent="0.2">
      <c r="A71" s="41"/>
      <c r="B71" s="60" t="s">
        <v>147</v>
      </c>
      <c r="C71" s="51">
        <v>20500000</v>
      </c>
      <c r="D71" s="56">
        <v>2000000</v>
      </c>
      <c r="E71" s="51">
        <f t="shared" si="3"/>
        <v>22500000</v>
      </c>
      <c r="F71" s="52">
        <f>180000+11800000+340000+2690000</f>
        <v>15010000</v>
      </c>
      <c r="G71" s="52">
        <f>2150000+340000+5000000</f>
        <v>7490000</v>
      </c>
      <c r="H71" s="52">
        <f t="shared" si="0"/>
        <v>22500000</v>
      </c>
      <c r="I71" s="52">
        <f t="shared" si="2"/>
        <v>0</v>
      </c>
      <c r="J71" s="53">
        <f t="shared" si="1"/>
        <v>1</v>
      </c>
      <c r="K71" s="51">
        <f>25000000-1500000</f>
        <v>23500000</v>
      </c>
    </row>
    <row r="72" spans="1:11" s="43" customFormat="1" ht="18.75" customHeight="1" x14ac:dyDescent="0.2">
      <c r="A72" s="41" t="s">
        <v>150</v>
      </c>
      <c r="B72" s="49" t="s">
        <v>151</v>
      </c>
      <c r="C72" s="47" t="e">
        <f>#REF!+C73</f>
        <v>#REF!</v>
      </c>
      <c r="D72" s="47" t="e">
        <f>#REF!+D73</f>
        <v>#REF!</v>
      </c>
      <c r="E72" s="46" t="e">
        <f t="shared" si="3"/>
        <v>#REF!</v>
      </c>
      <c r="F72" s="47" t="e">
        <f>#REF!+F73</f>
        <v>#REF!</v>
      </c>
      <c r="G72" s="47" t="e">
        <f>#REF!+G73</f>
        <v>#REF!</v>
      </c>
      <c r="H72" s="47" t="e">
        <f t="shared" ref="H72:H87" si="8">F72+G72</f>
        <v>#REF!</v>
      </c>
      <c r="I72" s="47" t="e">
        <f t="shared" si="2"/>
        <v>#REF!</v>
      </c>
      <c r="J72" s="48" t="e">
        <f t="shared" si="1"/>
        <v>#REF!</v>
      </c>
      <c r="K72" s="47">
        <f>K73</f>
        <v>23500000</v>
      </c>
    </row>
    <row r="73" spans="1:11" s="37" customFormat="1" ht="39" customHeight="1" x14ac:dyDescent="0.2">
      <c r="A73" s="66" t="s">
        <v>34</v>
      </c>
      <c r="B73" s="60" t="s">
        <v>147</v>
      </c>
      <c r="C73" s="51">
        <v>26500000</v>
      </c>
      <c r="D73" s="56">
        <v>6500000</v>
      </c>
      <c r="E73" s="51">
        <f t="shared" si="3"/>
        <v>33000000</v>
      </c>
      <c r="F73" s="52">
        <f>332000+3000000+190000+733000+1740000+9500000+520000+5230000+2950000</f>
        <v>24195000</v>
      </c>
      <c r="G73" s="52">
        <f>7800000+700000+2500000</f>
        <v>11000000</v>
      </c>
      <c r="H73" s="52">
        <f t="shared" si="8"/>
        <v>35195000</v>
      </c>
      <c r="I73" s="52">
        <f t="shared" si="2"/>
        <v>-2195000</v>
      </c>
      <c r="J73" s="53">
        <f t="shared" ref="J73:J85" si="9">H73/E73</f>
        <v>1.0665151515151514</v>
      </c>
      <c r="K73" s="51">
        <f>25000000-1500000</f>
        <v>23500000</v>
      </c>
    </row>
    <row r="74" spans="1:11" s="43" customFormat="1" ht="18.75" customHeight="1" x14ac:dyDescent="0.2">
      <c r="A74" s="41" t="s">
        <v>152</v>
      </c>
      <c r="B74" s="49" t="s">
        <v>153</v>
      </c>
      <c r="C74" s="47" t="e">
        <f>#REF!+C76</f>
        <v>#REF!</v>
      </c>
      <c r="D74" s="47" t="e">
        <f>#REF!+D76</f>
        <v>#REF!</v>
      </c>
      <c r="E74" s="46" t="e">
        <f t="shared" si="3"/>
        <v>#REF!</v>
      </c>
      <c r="F74" s="47" t="e">
        <f>#REF!+F76</f>
        <v>#REF!</v>
      </c>
      <c r="G74" s="47" t="e">
        <f>#REF!+G76</f>
        <v>#REF!</v>
      </c>
      <c r="H74" s="47" t="e">
        <f t="shared" si="8"/>
        <v>#REF!</v>
      </c>
      <c r="I74" s="47" t="e">
        <f t="shared" ref="I74:I87" si="10">E74-H74</f>
        <v>#REF!</v>
      </c>
      <c r="J74" s="48" t="e">
        <f t="shared" si="9"/>
        <v>#REF!</v>
      </c>
      <c r="K74" s="47">
        <f>K75+K76</f>
        <v>43500000</v>
      </c>
    </row>
    <row r="75" spans="1:11" s="37" customFormat="1" ht="18.75" customHeight="1" x14ac:dyDescent="0.2">
      <c r="A75" s="55"/>
      <c r="B75" s="50" t="s">
        <v>154</v>
      </c>
      <c r="C75" s="52"/>
      <c r="D75" s="52"/>
      <c r="E75" s="51"/>
      <c r="F75" s="52"/>
      <c r="G75" s="52"/>
      <c r="H75" s="52"/>
      <c r="I75" s="52"/>
      <c r="J75" s="53"/>
      <c r="K75" s="52">
        <v>15000000</v>
      </c>
    </row>
    <row r="76" spans="1:11" s="37" customFormat="1" ht="34.5" customHeight="1" x14ac:dyDescent="0.2">
      <c r="A76" s="66" t="s">
        <v>34</v>
      </c>
      <c r="B76" s="60" t="s">
        <v>155</v>
      </c>
      <c r="C76" s="51">
        <v>18500000</v>
      </c>
      <c r="D76" s="56">
        <v>2000000</v>
      </c>
      <c r="E76" s="51">
        <f t="shared" si="3"/>
        <v>20500000</v>
      </c>
      <c r="F76" s="52">
        <f>200000+600000+4000000+300000+3000000+2550000</f>
        <v>10650000</v>
      </c>
      <c r="G76" s="52">
        <f>300000+5200000+500000+400000+2500000+650000</f>
        <v>9550000</v>
      </c>
      <c r="H76" s="52">
        <f t="shared" si="8"/>
        <v>20200000</v>
      </c>
      <c r="I76" s="52">
        <f t="shared" si="10"/>
        <v>300000</v>
      </c>
      <c r="J76" s="53">
        <f t="shared" si="9"/>
        <v>0.98536585365853657</v>
      </c>
      <c r="K76" s="51">
        <f>30000000-1500000</f>
        <v>28500000</v>
      </c>
    </row>
    <row r="77" spans="1:11" s="43" customFormat="1" ht="18.75" customHeight="1" x14ac:dyDescent="0.2">
      <c r="A77" s="41" t="s">
        <v>156</v>
      </c>
      <c r="B77" s="49" t="s">
        <v>157</v>
      </c>
      <c r="C77" s="47">
        <f t="shared" ref="C77:G77" si="11">C78+C79</f>
        <v>270679012</v>
      </c>
      <c r="D77" s="47">
        <f t="shared" si="11"/>
        <v>12300000</v>
      </c>
      <c r="E77" s="46">
        <f t="shared" si="3"/>
        <v>282979012</v>
      </c>
      <c r="F77" s="47">
        <f t="shared" si="11"/>
        <v>221750190</v>
      </c>
      <c r="G77" s="47">
        <f t="shared" si="11"/>
        <v>42410160</v>
      </c>
      <c r="H77" s="47">
        <f t="shared" si="8"/>
        <v>264160350</v>
      </c>
      <c r="I77" s="47">
        <f t="shared" si="10"/>
        <v>18818662</v>
      </c>
      <c r="J77" s="48">
        <f t="shared" si="9"/>
        <v>0.93349802917539337</v>
      </c>
      <c r="K77" s="47">
        <f>K78+K79</f>
        <v>146800000</v>
      </c>
    </row>
    <row r="78" spans="1:11" s="37" customFormat="1" ht="18.75" customHeight="1" x14ac:dyDescent="0.2">
      <c r="A78" s="66" t="s">
        <v>34</v>
      </c>
      <c r="B78" s="50" t="s">
        <v>158</v>
      </c>
      <c r="C78" s="51">
        <v>210679012</v>
      </c>
      <c r="D78" s="56">
        <v>7300000</v>
      </c>
      <c r="E78" s="51">
        <f t="shared" si="3"/>
        <v>217979012</v>
      </c>
      <c r="F78" s="52">
        <f>53564105+3157550+4737000+102546000+1472010+14180525+1668000</f>
        <v>181325190</v>
      </c>
      <c r="G78" s="52">
        <f>5453400+297910+447000+9834000+1437850</f>
        <v>17470160</v>
      </c>
      <c r="H78" s="52">
        <f t="shared" si="8"/>
        <v>198795350</v>
      </c>
      <c r="I78" s="52">
        <f t="shared" si="10"/>
        <v>19183662</v>
      </c>
      <c r="J78" s="53">
        <f t="shared" si="9"/>
        <v>0.91199307757207382</v>
      </c>
      <c r="K78" s="51">
        <v>92800000</v>
      </c>
    </row>
    <row r="79" spans="1:11" s="37" customFormat="1" ht="18.75" customHeight="1" x14ac:dyDescent="0.2">
      <c r="A79" s="66" t="s">
        <v>34</v>
      </c>
      <c r="B79" s="60" t="s">
        <v>159</v>
      </c>
      <c r="C79" s="51">
        <v>60000000</v>
      </c>
      <c r="D79" s="56">
        <v>5000000</v>
      </c>
      <c r="E79" s="51">
        <f t="shared" si="3"/>
        <v>65000000</v>
      </c>
      <c r="F79" s="52">
        <f>4710000+13350000+4800000+17565000</f>
        <v>40425000</v>
      </c>
      <c r="G79" s="52">
        <f>11600000+400000+5500000+4380000+3060000</f>
        <v>24940000</v>
      </c>
      <c r="H79" s="52">
        <f t="shared" si="8"/>
        <v>65365000</v>
      </c>
      <c r="I79" s="52">
        <f t="shared" si="10"/>
        <v>-365000</v>
      </c>
      <c r="J79" s="53">
        <f t="shared" si="9"/>
        <v>1.0056153846153846</v>
      </c>
      <c r="K79" s="51">
        <f>60000000-6000000</f>
        <v>54000000</v>
      </c>
    </row>
    <row r="80" spans="1:11" s="43" customFormat="1" ht="18.75" customHeight="1" x14ac:dyDescent="0.2">
      <c r="A80" s="41" t="s">
        <v>160</v>
      </c>
      <c r="B80" s="49" t="s">
        <v>161</v>
      </c>
      <c r="C80" s="46">
        <v>2000000</v>
      </c>
      <c r="D80" s="46"/>
      <c r="E80" s="46">
        <f t="shared" ref="E80:E87" si="12">C80+D80</f>
        <v>2000000</v>
      </c>
      <c r="F80" s="46"/>
      <c r="G80" s="46"/>
      <c r="H80" s="52">
        <f t="shared" si="8"/>
        <v>0</v>
      </c>
      <c r="I80" s="52">
        <f t="shared" si="10"/>
        <v>2000000</v>
      </c>
      <c r="J80" s="53">
        <f t="shared" si="9"/>
        <v>0</v>
      </c>
      <c r="K80" s="46">
        <v>2000000</v>
      </c>
    </row>
    <row r="81" spans="1:11" s="43" customFormat="1" ht="18.75" customHeight="1" x14ac:dyDescent="0.2">
      <c r="A81" s="41" t="s">
        <v>162</v>
      </c>
      <c r="B81" s="49" t="s">
        <v>163</v>
      </c>
      <c r="C81" s="46">
        <f t="shared" ref="C81:G81" si="13">C82+C83</f>
        <v>16000000</v>
      </c>
      <c r="D81" s="46">
        <f t="shared" si="13"/>
        <v>0</v>
      </c>
      <c r="E81" s="46">
        <f t="shared" si="12"/>
        <v>16000000</v>
      </c>
      <c r="F81" s="46">
        <f t="shared" si="13"/>
        <v>13721200</v>
      </c>
      <c r="G81" s="46">
        <f t="shared" si="13"/>
        <v>1315000</v>
      </c>
      <c r="H81" s="47">
        <f t="shared" si="8"/>
        <v>15036200</v>
      </c>
      <c r="I81" s="47">
        <f t="shared" si="10"/>
        <v>963800</v>
      </c>
      <c r="J81" s="48">
        <f t="shared" si="9"/>
        <v>0.93976249999999995</v>
      </c>
      <c r="K81" s="46">
        <f>K82+K83</f>
        <v>10000000</v>
      </c>
    </row>
    <row r="82" spans="1:11" s="37" customFormat="1" ht="18.75" customHeight="1" x14ac:dyDescent="0.2">
      <c r="A82" s="41"/>
      <c r="B82" s="50" t="s">
        <v>164</v>
      </c>
      <c r="C82" s="51">
        <v>11000000</v>
      </c>
      <c r="D82" s="56"/>
      <c r="E82" s="51">
        <f t="shared" si="12"/>
        <v>11000000</v>
      </c>
      <c r="F82" s="52">
        <v>9772100</v>
      </c>
      <c r="G82" s="52"/>
      <c r="H82" s="52">
        <f t="shared" si="8"/>
        <v>9772100</v>
      </c>
      <c r="I82" s="52">
        <f t="shared" si="10"/>
        <v>1227900</v>
      </c>
      <c r="J82" s="53">
        <f t="shared" si="9"/>
        <v>0.88837272727272731</v>
      </c>
      <c r="K82" s="51">
        <v>5000000</v>
      </c>
    </row>
    <row r="83" spans="1:11" s="37" customFormat="1" ht="18.75" customHeight="1" x14ac:dyDescent="0.2">
      <c r="A83" s="41"/>
      <c r="B83" s="50" t="s">
        <v>165</v>
      </c>
      <c r="C83" s="51">
        <v>5000000</v>
      </c>
      <c r="D83" s="56"/>
      <c r="E83" s="51">
        <f t="shared" si="12"/>
        <v>5000000</v>
      </c>
      <c r="F83" s="52">
        <v>3949100</v>
      </c>
      <c r="G83" s="52">
        <v>1315000</v>
      </c>
      <c r="H83" s="52">
        <f t="shared" si="8"/>
        <v>5264100</v>
      </c>
      <c r="I83" s="52">
        <f t="shared" si="10"/>
        <v>-264100</v>
      </c>
      <c r="J83" s="53">
        <f t="shared" si="9"/>
        <v>1.0528200000000001</v>
      </c>
      <c r="K83" s="51">
        <v>5000000</v>
      </c>
    </row>
    <row r="84" spans="1:11" s="43" customFormat="1" ht="18.75" customHeight="1" x14ac:dyDescent="0.2">
      <c r="A84" s="41">
        <v>8</v>
      </c>
      <c r="B84" s="49" t="s">
        <v>166</v>
      </c>
      <c r="C84" s="46">
        <v>9000000</v>
      </c>
      <c r="D84" s="46"/>
      <c r="E84" s="46">
        <f t="shared" si="12"/>
        <v>9000000</v>
      </c>
      <c r="F84" s="46"/>
      <c r="G84" s="46"/>
      <c r="H84" s="52">
        <f t="shared" si="8"/>
        <v>0</v>
      </c>
      <c r="I84" s="47">
        <f t="shared" si="10"/>
        <v>9000000</v>
      </c>
      <c r="J84" s="48">
        <f t="shared" si="9"/>
        <v>0</v>
      </c>
      <c r="K84" s="46">
        <v>6000000</v>
      </c>
    </row>
    <row r="85" spans="1:11" s="43" customFormat="1" ht="18.75" customHeight="1" x14ac:dyDescent="0.2">
      <c r="A85" s="41" t="s">
        <v>167</v>
      </c>
      <c r="B85" s="49" t="s">
        <v>168</v>
      </c>
      <c r="C85" s="46">
        <v>67000000</v>
      </c>
      <c r="D85" s="46"/>
      <c r="E85" s="46">
        <f t="shared" si="12"/>
        <v>67000000</v>
      </c>
      <c r="F85" s="46"/>
      <c r="G85" s="46"/>
      <c r="H85" s="52">
        <f t="shared" si="8"/>
        <v>0</v>
      </c>
      <c r="I85" s="47">
        <f t="shared" si="10"/>
        <v>67000000</v>
      </c>
      <c r="J85" s="48">
        <f t="shared" si="9"/>
        <v>0</v>
      </c>
      <c r="K85" s="46">
        <v>83000000</v>
      </c>
    </row>
    <row r="86" spans="1:11" s="43" customFormat="1" ht="18.75" customHeight="1" x14ac:dyDescent="0.2">
      <c r="A86" s="41">
        <v>10</v>
      </c>
      <c r="B86" s="49" t="s">
        <v>169</v>
      </c>
      <c r="C86" s="46"/>
      <c r="D86" s="46"/>
      <c r="E86" s="46"/>
      <c r="F86" s="46"/>
      <c r="G86" s="46"/>
      <c r="H86" s="52"/>
      <c r="I86" s="47"/>
      <c r="J86" s="48"/>
      <c r="K86" s="46">
        <v>55000000</v>
      </c>
    </row>
    <row r="87" spans="1:11" s="43" customFormat="1" ht="18.75" customHeight="1" x14ac:dyDescent="0.2">
      <c r="A87" s="41" t="s">
        <v>41</v>
      </c>
      <c r="B87" s="49" t="s">
        <v>170</v>
      </c>
      <c r="C87" s="46">
        <v>0</v>
      </c>
      <c r="D87" s="56"/>
      <c r="E87" s="51">
        <f t="shared" si="12"/>
        <v>0</v>
      </c>
      <c r="F87" s="47"/>
      <c r="G87" s="47"/>
      <c r="H87" s="52">
        <f t="shared" si="8"/>
        <v>0</v>
      </c>
      <c r="I87" s="52">
        <f t="shared" si="10"/>
        <v>0</v>
      </c>
      <c r="J87" s="53"/>
      <c r="K87" s="51"/>
    </row>
    <row r="88" spans="1:11" s="43" customFormat="1" x14ac:dyDescent="0.2">
      <c r="A88" s="38"/>
      <c r="B88" s="38"/>
      <c r="C88" s="67"/>
      <c r="F88" s="68"/>
      <c r="G88" s="68"/>
    </row>
    <row r="89" spans="1:11" s="43" customFormat="1" x14ac:dyDescent="0.2">
      <c r="A89" s="38"/>
      <c r="F89" s="68"/>
      <c r="G89" s="68"/>
    </row>
    <row r="92" spans="1:11" s="37" customFormat="1" x14ac:dyDescent="0.2">
      <c r="A92" s="38"/>
      <c r="B92" s="38"/>
      <c r="C92" s="38"/>
      <c r="F92" s="40"/>
      <c r="G92" s="4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dcterms:created xsi:type="dcterms:W3CDTF">2023-07-14T08:42:01Z</dcterms:created>
  <dcterms:modified xsi:type="dcterms:W3CDTF">2023-07-14T09:04:09Z</dcterms:modified>
</cp:coreProperties>
</file>